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5401" windowWidth="12120" windowHeight="8325" activeTab="0"/>
  </bookViews>
  <sheets>
    <sheet name="User Input and Results" sheetId="1" r:id="rId1"/>
    <sheet name="Cost Data and Calculations" sheetId="2" r:id="rId2"/>
    <sheet name="Vehicle Counts" sheetId="3" r:id="rId3"/>
    <sheet name="Documentation" sheetId="4" r:id="rId4"/>
  </sheets>
  <definedNames>
    <definedName name="depr_car">'Cost Data and Calculations'!$AC$1</definedName>
    <definedName name="depr_truck">'Cost Data and Calculations'!$AC$2</definedName>
    <definedName name="exccar">'Cost Data and Calculations'!$Y$1</definedName>
    <definedName name="exctruck">'Cost Data and Calculations'!$Y$2</definedName>
    <definedName name="FiveYearRepair">'User Input and Results'!$B$66</definedName>
    <definedName name="HW_gpm_car">'Cost Data and Calculations'!$X$1</definedName>
    <definedName name="HW_gpm_truck">'Cost Data and Calculations'!$X$2</definedName>
    <definedName name="LT5vmt">'User Input and Results'!$B$65</definedName>
    <definedName name="Maint_car">'Cost Data and Calculations'!$Z$1</definedName>
    <definedName name="Maint_truck">'Cost Data and Calculations'!$Z$2</definedName>
    <definedName name="Repair_car">'Cost Data and Calculations'!$AB$1</definedName>
    <definedName name="Repair_truck">'Cost Data and Calculations'!$AB$2</definedName>
    <definedName name="Tires_car">'Cost Data and Calculations'!$AA$1</definedName>
    <definedName name="Tires_truck">'Cost Data and Calculations'!$AA$2</definedName>
  </definedNames>
  <calcPr fullCalcOnLoad="1"/>
</workbook>
</file>

<file path=xl/comments1.xml><?xml version="1.0" encoding="utf-8"?>
<comments xmlns="http://schemas.openxmlformats.org/spreadsheetml/2006/main">
  <authors>
    <author>Compaq Customer</author>
    <author>HHH Institute</author>
  </authors>
  <commentList>
    <comment ref="A32" authorId="0">
      <text>
        <r>
          <rPr>
            <b/>
            <sz val="8"/>
            <rFont val="Tahoma"/>
            <family val="0"/>
          </rPr>
          <t>For highway conditions, assume an average speed of 50 mph, with very infrequent stops.</t>
        </r>
        <r>
          <rPr>
            <sz val="8"/>
            <rFont val="Tahoma"/>
            <family val="0"/>
          </rPr>
          <t xml:space="preserve">
</t>
        </r>
      </text>
    </comment>
    <comment ref="A33" authorId="0">
      <text>
        <r>
          <rPr>
            <b/>
            <sz val="8"/>
            <rFont val="Tahoma"/>
            <family val="0"/>
          </rPr>
          <t>For city conditions, assume an average speed of 25 mph, including frequent stops and slowdowns.</t>
        </r>
        <r>
          <rPr>
            <sz val="8"/>
            <rFont val="Tahoma"/>
            <family val="0"/>
          </rPr>
          <t xml:space="preserve">
</t>
        </r>
      </text>
    </comment>
    <comment ref="A34" authorId="0">
      <text>
        <r>
          <rPr>
            <b/>
            <sz val="8"/>
            <rFont val="Tahoma"/>
            <family val="0"/>
          </rPr>
          <t>For severe congestion, assume an average speed of 10 mph, including frequent and lengthy stops and slowdowns.</t>
        </r>
        <r>
          <rPr>
            <sz val="8"/>
            <rFont val="Tahoma"/>
            <family val="0"/>
          </rPr>
          <t xml:space="preserve">
</t>
        </r>
      </text>
    </comment>
    <comment ref="A31" authorId="0">
      <text>
        <r>
          <rPr>
            <b/>
            <sz val="8"/>
            <rFont val="Tahoma"/>
            <family val="0"/>
          </rPr>
          <t>Enter fractions of the project that fall into each category. Fractions must add to one. For example, if the project is all highway, enter 1 in highway and 0 elsewhere. For half highway, half city, enter .5 in each of these categories.</t>
        </r>
        <r>
          <rPr>
            <sz val="8"/>
            <rFont val="Tahoma"/>
            <family val="0"/>
          </rPr>
          <t xml:space="preserve">
</t>
        </r>
      </text>
    </comment>
    <comment ref="A36" authorId="0">
      <text>
        <r>
          <rPr>
            <b/>
            <sz val="8"/>
            <rFont val="Tahoma"/>
            <family val="0"/>
          </rPr>
          <t>Enter fractions of the project that fall into each category. Fractions must add to one. For example, if the project is all 3.5 or better, enter 1 in "3.5" and 0 elsewhere. For half "3.0" and half "2.5" enter .5 in each of these categories.</t>
        </r>
        <r>
          <rPr>
            <sz val="8"/>
            <rFont val="Tahoma"/>
            <family val="0"/>
          </rPr>
          <t xml:space="preserve">
</t>
        </r>
      </text>
    </comment>
    <comment ref="A37" authorId="0">
      <text>
        <r>
          <rPr>
            <b/>
            <sz val="8"/>
            <rFont val="Tahoma"/>
            <family val="0"/>
          </rPr>
          <t>This is extremely rough pavement, corresponding to IRI of 2.7 mm/m or 170 inches/mile.</t>
        </r>
        <r>
          <rPr>
            <sz val="8"/>
            <rFont val="Tahoma"/>
            <family val="0"/>
          </rPr>
          <t xml:space="preserve">
</t>
        </r>
      </text>
    </comment>
    <comment ref="A38" authorId="0">
      <text>
        <r>
          <rPr>
            <b/>
            <sz val="8"/>
            <rFont val="Tahoma"/>
            <family val="0"/>
          </rPr>
          <t>PSI of 2.5 corresponds to IRI of 2.2 mm/m or 135 inches/mile.</t>
        </r>
        <r>
          <rPr>
            <sz val="8"/>
            <rFont val="Tahoma"/>
            <family val="0"/>
          </rPr>
          <t xml:space="preserve">
</t>
        </r>
      </text>
    </comment>
    <comment ref="A39" authorId="0">
      <text>
        <r>
          <rPr>
            <b/>
            <sz val="8"/>
            <rFont val="Tahoma"/>
            <family val="0"/>
          </rPr>
          <t>PSI of 3.0 corresponds to IRI of 1.7 mm/m or 105 inches/mile.</t>
        </r>
      </text>
    </comment>
    <comment ref="A40" authorId="0">
      <text>
        <r>
          <rPr>
            <b/>
            <sz val="8"/>
            <rFont val="Tahoma"/>
            <family val="0"/>
          </rPr>
          <t>PSI of 3.5 corresponds to IRI of 1.2 mm/m or 80 inches/mile.</t>
        </r>
        <r>
          <rPr>
            <sz val="8"/>
            <rFont val="Tahoma"/>
            <family val="0"/>
          </rPr>
          <t xml:space="preserve">
</t>
        </r>
      </text>
    </comment>
    <comment ref="A44" authorId="0">
      <text>
        <r>
          <rPr>
            <b/>
            <sz val="8"/>
            <rFont val="Tahoma"/>
            <family val="0"/>
          </rPr>
          <t>Recommend using the current gas price unless specific forecasts are available.</t>
        </r>
        <r>
          <rPr>
            <sz val="8"/>
            <rFont val="Tahoma"/>
            <family val="0"/>
          </rPr>
          <t xml:space="preserve">
</t>
        </r>
      </text>
    </comment>
    <comment ref="A45" authorId="0">
      <text>
        <r>
          <rPr>
            <b/>
            <sz val="8"/>
            <rFont val="Tahoma"/>
            <family val="0"/>
          </rPr>
          <t>Recommend using the current diesel price unless specific forecasts are available.</t>
        </r>
        <r>
          <rPr>
            <sz val="8"/>
            <rFont val="Tahoma"/>
            <family val="0"/>
          </rPr>
          <t xml:space="preserve">
</t>
        </r>
      </text>
    </comment>
    <comment ref="A47" authorId="0">
      <text>
        <r>
          <rPr>
            <b/>
            <sz val="8"/>
            <rFont val="Tahoma"/>
            <family val="0"/>
          </rPr>
          <t>Recommend using 3% per year, baseline 2003. So for 2004, use 1.03, for 2005, use 1.03*1.03, etc.</t>
        </r>
        <r>
          <rPr>
            <sz val="8"/>
            <rFont val="Tahoma"/>
            <family val="0"/>
          </rPr>
          <t xml:space="preserve">
</t>
        </r>
      </text>
    </comment>
    <comment ref="A48" authorId="0">
      <text>
        <r>
          <rPr>
            <b/>
            <sz val="8"/>
            <rFont val="Tahoma"/>
            <family val="0"/>
          </rPr>
          <t>Recommend no adjustment unless specific information is available.</t>
        </r>
        <r>
          <rPr>
            <sz val="8"/>
            <rFont val="Tahoma"/>
            <family val="0"/>
          </rPr>
          <t xml:space="preserve">
</t>
        </r>
      </text>
    </comment>
    <comment ref="A49" authorId="0">
      <text>
        <r>
          <rPr>
            <b/>
            <sz val="8"/>
            <rFont val="Tahoma"/>
            <family val="0"/>
          </rPr>
          <t>Recommend no adjustment unless specific information is available.</t>
        </r>
        <r>
          <rPr>
            <sz val="8"/>
            <rFont val="Tahoma"/>
            <family val="0"/>
          </rPr>
          <t xml:space="preserve">
</t>
        </r>
      </text>
    </comment>
    <comment ref="A29" authorId="0">
      <text>
        <r>
          <rPr>
            <b/>
            <sz val="8"/>
            <rFont val="Tahoma"/>
            <family val="0"/>
          </rPr>
          <t>These are the primary user inputs.</t>
        </r>
        <r>
          <rPr>
            <sz val="8"/>
            <rFont val="Tahoma"/>
            <family val="0"/>
          </rPr>
          <t xml:space="preserve">
</t>
        </r>
      </text>
    </comment>
    <comment ref="A10" authorId="0">
      <text>
        <r>
          <rPr>
            <b/>
            <sz val="8"/>
            <rFont val="Tahoma"/>
            <family val="0"/>
          </rPr>
          <t>EPA fuel economy ratings, converted to gallons per mile, multiplied by the gas price.</t>
        </r>
        <r>
          <rPr>
            <sz val="8"/>
            <rFont val="Tahoma"/>
            <family val="0"/>
          </rPr>
          <t xml:space="preserve">
</t>
        </r>
      </text>
    </comment>
    <comment ref="A11" authorId="0">
      <text>
        <r>
          <rPr>
            <b/>
            <sz val="8"/>
            <rFont val="Tahoma"/>
            <family val="0"/>
          </rPr>
          <t>Intellichoice estimated five year maintenance costs, excluding tires, divided by the assumed 70,000 miles. This per-mile cost is assumed to continue for the life of the vehicle.</t>
        </r>
      </text>
    </comment>
    <comment ref="A12" authorId="0">
      <text>
        <r>
          <rPr>
            <b/>
            <sz val="8"/>
            <rFont val="Tahoma"/>
            <family val="0"/>
          </rPr>
          <t xml:space="preserve">Intellichoice estimated tire replacement cost, divided by the assumed 45,000 mile tire life. </t>
        </r>
        <r>
          <rPr>
            <sz val="8"/>
            <rFont val="Tahoma"/>
            <family val="0"/>
          </rPr>
          <t xml:space="preserve">
</t>
        </r>
      </text>
    </comment>
    <comment ref="A13" authorId="0">
      <text>
        <r>
          <rPr>
            <b/>
            <sz val="8"/>
            <rFont val="Tahoma"/>
            <family val="0"/>
          </rPr>
          <t>Intellichoice estimated five year repair costs. They indicate that generally half of these costs occur in the fifth year. We calculate a per-mile cost for the first four years as half of the total divided by 56,000, and for the fifth year as half of the total divided by 14,000. We assume the fifth year cost continues for the life of the vehicle. We assume, based on registration patterns, that 1/3 of all mileage is driven by cars less than five years old. So we multiply the new-car repair cost by 1/3 and the old-car cost by 2/3 to get a weighted average for the life of a vehicle.</t>
        </r>
      </text>
    </comment>
    <comment ref="A14" authorId="0">
      <text>
        <r>
          <rPr>
            <b/>
            <sz val="8"/>
            <rFont val="Tahoma"/>
            <family val="0"/>
          </rPr>
          <t>N.A.D.A. gives adjustment factors for used car prices based on mileage above and below the assumed average for a car of a given age. Other depreciation is assumed to be based on the age of the vehicle rather than mileage. Adjustment factors are given in four categories, mostly determined by the initial value of the vehicle. The implied per-mile depreciation rate is higher for vehicles more than four years old. We create a weighted average using the same method as for repair costs.</t>
        </r>
      </text>
    </comment>
    <comment ref="A16" authorId="0">
      <text>
        <r>
          <rPr>
            <b/>
            <sz val="8"/>
            <rFont val="Tahoma"/>
            <family val="0"/>
          </rPr>
          <t>These costs are calculated the same way as those for automobiles, but using raw data that is specific to these vehicle types.</t>
        </r>
        <r>
          <rPr>
            <sz val="8"/>
            <rFont val="Tahoma"/>
            <family val="0"/>
          </rPr>
          <t xml:space="preserve">
</t>
        </r>
      </text>
    </comment>
    <comment ref="A23" authorId="0">
      <text>
        <r>
          <rPr>
            <b/>
            <sz val="8"/>
            <rFont val="Tahoma"/>
            <family val="0"/>
          </rPr>
          <t>The derivation of these costs is described in detail through links on the "Methodology" page.</t>
        </r>
        <r>
          <rPr>
            <sz val="8"/>
            <rFont val="Tahoma"/>
            <family val="0"/>
          </rPr>
          <t xml:space="preserve">
</t>
        </r>
      </text>
    </comment>
    <comment ref="A9" authorId="0">
      <text>
        <r>
          <rPr>
            <b/>
            <sz val="8"/>
            <rFont val="Tahoma"/>
            <family val="0"/>
          </rPr>
          <t>The derivation of these costs is described in detail through links on the "Methodology" page.</t>
        </r>
        <r>
          <rPr>
            <sz val="8"/>
            <rFont val="Tahoma"/>
            <family val="0"/>
          </rPr>
          <t xml:space="preserve">
</t>
        </r>
      </text>
    </comment>
    <comment ref="F1" authorId="1">
      <text>
        <r>
          <rPr>
            <sz val="8"/>
            <rFont val="Tahoma"/>
            <family val="0"/>
          </rPr>
          <t>Inputs are in green type midway down the page. Results are in black type at the top. The red type at the bottom of the page shows intermediate calculations and basic parameters; normally these should not be changed without a compelling reason. The one exception is "Fraction of cars in fleet," which may vary across areas. It will also decline over time, but this is already accounted for in the calculations.
The sheet is set up so that the user can enter up to four scenarios at once. These could reflect different assumptions about a project, for sensitivity analysis. Alternately, they could accommodate a situation where different parts of a project have different characteristics. In this case the user could enter the characteristics of each part and then take a weighted average of the results to get a total project average operating cost.
The numbers are based on the vehicle fleet in Minnesota. Limited sensitivity tests indicated that variations in the counts of specific models did not affect the overall cost estimates much, so local variations should not create much inaccuracy. However, the fraction of the fleet that is cars (as opposed to pickups/SUVs/vans) does have some impact, and will likely vary from place to place. The user can enter a local value for this parameter near the bottom of the page. The number entered should be as of 2003, since expected future changes are already incorporated into the calculations.</t>
        </r>
      </text>
    </comment>
    <comment ref="A64" authorId="1">
      <text>
        <r>
          <rPr>
            <b/>
            <sz val="8"/>
            <rFont val="Tahoma"/>
            <family val="0"/>
          </rPr>
          <t>This is the fraction of the total personal vehicle fleet that is cars (as opposed to pickups/SUVs/vans), as of 2003. Large commercial trucks are not part of this number; they are accounted for separately. The number entered here is based on the Minnesota fleet. This may be different in other places, and should be adjusted to reflect this.  The expected decrease in the proportion of cars over time is already accounted for in the calculations, so the number entered here should be the fraction in 2003.</t>
        </r>
        <r>
          <rPr>
            <sz val="8"/>
            <rFont val="Tahoma"/>
            <family val="0"/>
          </rPr>
          <t xml:space="preserve">
</t>
        </r>
      </text>
    </comment>
  </commentList>
</comments>
</file>

<file path=xl/comments4.xml><?xml version="1.0" encoding="utf-8"?>
<comments xmlns="http://schemas.openxmlformats.org/spreadsheetml/2006/main">
  <authors>
    <author>Compaq Customer</author>
  </authors>
  <commentList>
    <comment ref="A5" authorId="0">
      <text>
        <r>
          <rPr>
            <b/>
            <sz val="8"/>
            <rFont val="Tahoma"/>
            <family val="0"/>
          </rPr>
          <t xml:space="preserve">The cost of operating an automobile or light truck is strongly dependent on the characteristics of the specific model. As an obvious example, big pickups consume considerably more fuel than do subcompact cars; but other costs vary widely as well. As analysts will generally not know the specific models of car and light truck that will use a given highway, we develop an “average” operating cost based on model counts in the existing fleet.
For each model, we break operating costs into five major components: fuel, maintenance (excluding tires), tires, unscheduled repairs, and depreciation. We have information by model for the first four of these, and by classes of models for the last. We first develop a baseline cost per mile of operating each model based on “highway” conditions. We then multiply this by model counts to arrive at a baseline per mile cost for the fleet as a whole. Finally we develop adjustment factors to use for accounting for future price changes, and other specific conditions that might be of interest, in particular pavement roughness and “city” versus “highway” driving conditions.
Although there is consensus that gradients and curves also affect operating costs, we do not address these here, for two reasons. First, they are unlikely to be significant factors for most highway projects in Minnesota. Second, there is apparently no simple way to account for these factors short of describing every hill and curve on the project in question; a degree of detail and effort which is unlikely to be worthwhile given normal Minnesota conditions.
</t>
        </r>
        <r>
          <rPr>
            <sz val="8"/>
            <rFont val="Tahoma"/>
            <family val="0"/>
          </rPr>
          <t xml:space="preserve">
</t>
        </r>
      </text>
    </comment>
    <comment ref="A6" authorId="0">
      <text>
        <r>
          <rPr>
            <b/>
            <sz val="8"/>
            <rFont val="Tahoma"/>
            <family val="0"/>
          </rPr>
          <t xml:space="preserve">There are two issues in calculating fuel costs: the expected consumption of fuel by a given model, and the price of fuel. We address these separately, so that analysts can modify assumptions about fuel mileage and prices as these factors evolve over time.
For fuel mileage, we use the standard fuel economy data generated by the Environmental Protection Agency, which offers estimated mileage per gallon for both city and highway driving conditions. For our purposes here, we copied this data from the same (printed) source that we used for repair and maintenance costs. However, it is also available online, for a much wider variety of car models than we dealt with. 
Historical retail fuel prices are also available online. For Minnesota, historical (weekly) prices are only available back to 2000. There are longer time series available for the Midwest as a whole (starting in 1992) and the U.S. (starting in 1990). Minnesota prices closely match U.S. prices. There is no long-term “trend” in these prices in the normal sense of a somewhat steady change. Prices hovered around a single level for several years, then increased sharply to a new level, around which they have hovered since.
Because there is no clear trend or pattern to fuel prices, probably the best number to use is whatever the current price is, unless the analyst has some other forecast of future prices for the period under consideration. Fuel costs are further modified based on the balance between highway and city driving conditions. Full “city” conditions lead to about 35% more fuel usage on average. Extreme congestion will lead to levels even higher than this, and this option is part of our spreadsheet. Available evidence indicates that pavement roughness does not significantly impact fuel usage, so this adjustment factor does not play a role here.
</t>
        </r>
        <r>
          <rPr>
            <sz val="8"/>
            <rFont val="Tahoma"/>
            <family val="0"/>
          </rPr>
          <t xml:space="preserve">
</t>
        </r>
      </text>
    </comment>
    <comment ref="A7" authorId="0">
      <text>
        <r>
          <rPr>
            <b/>
            <sz val="8"/>
            <rFont val="Tahoma"/>
            <family val="0"/>
          </rPr>
          <t xml:space="preserve">The business of the company IntelliChoice® is developing estimates of the five-year lifecycle costs of cars and light trucks, for the information of consumers choosing which model to buy. Their annual publications The Complete Car Cost Guide and The Complete Small Truck Cost Guide are commonly available in library reference sections and can be purchased directly from the company. They contain detailed cost information for all the common models.
The costs of maintenance are estimated based on the manufacturers’ recommended maintenance schedule. The costs of the various forms of maintenance are based on industry-standard service times, national labor-rate averages, and manufacturers’ suggested list price for parts. They note that this is probably an upper bound for maintenance costs; it will be less expensive than this for many people. They assume that cars are driven 14,000 miles per year. A major portion of the maintenance costs is the replacement of tires, which we break out separately in the next section. 
To generate per-mile maintenance cost estimates we subtract the tire replacement cost from the total five-year maintenance cost. The remainder is divided by 70,000 (the five-year assumed mileage) to get a baseline per-mile cost. We assume that this routine maintenance cost will continue for the life of the vehicle. 
We make three adjustments to this baseline cost. The first adjustment would be a 3% annual price increase, based on consumer price indices (CPI) for the U.S. for the last 20 years. This would impact estimates done in future years. The second is a multiplier for pavement roughness, which creates the need for replacement of parts ahead of the “normal” maintenance assumptions. The derivation of the pavement roughness multiplier is described in section 2.3. The final adjustment is for driving conditions. Frequent stops and starts, in addition to using more fuel, will cause increased wear to other parts of the car as well. We apply an adjustment factor as described in section 2.3.
</t>
        </r>
        <r>
          <rPr>
            <sz val="8"/>
            <rFont val="Tahoma"/>
            <family val="0"/>
          </rPr>
          <t xml:space="preserve">
</t>
        </r>
      </text>
    </comment>
    <comment ref="A8" authorId="0">
      <text>
        <r>
          <rPr>
            <b/>
            <sz val="8"/>
            <rFont val="Tahoma"/>
            <family val="0"/>
          </rPr>
          <t>Tire costs are also taken from IntelliChoice®. These costs are based on a 45,000 mile cycle. Tire costs have not had any inflation for the last 20 years according to the CPI. Thus we recommend no inflation factor, although we include the option in the spreadsheet. Also, we assume that city vs. highway conditions will not impact tire wear. We do, however, include pavement roughness here as bad pavement may create the need for early tire replacement. Thus the per-mile cost for tires is the total, divided by 45,000, multiplied by the pavement roughness factor described in a subsequent section.</t>
        </r>
        <r>
          <rPr>
            <sz val="8"/>
            <rFont val="Tahoma"/>
            <family val="0"/>
          </rPr>
          <t xml:space="preserve">
</t>
        </r>
      </text>
    </comment>
    <comment ref="A9" authorId="0">
      <text>
        <r>
          <rPr>
            <b/>
            <sz val="8"/>
            <rFont val="Tahoma"/>
            <family val="0"/>
          </rPr>
          <t>The estimated costs of repairs also come from IntelliChoice®, and are based on the cost of a five-year, zero-deductible repair-service contract for each model of car. They note that these will generally offer a very good proxy for expected repair costs since the companies offering these contracts must price the high enough to cover expected costs, but low enough to remain competitive. 
For most models, the cost of repairs in the fifth year is estimated to be 50% or more of the five-year total. This is the range from about 60,000 to 70,000 miles when parts might be expected to begin failing, and warranties begin expiring. For this model, we assume for simplicity that for all models, 50% of the five-year repair costs will occur in the first four years, and 50% in the fifth year. We assume that the costs incurred in the fifth year will then be incurred in all subsequent years.
Thus for repairs, as will also be the case for depreciation, the per-mile cost will depend on the age of the vehicle. To account for this, we use the distribution of the vehicle fleet by age, and assume for simplicity that all individual models follow the overall distribution. This distribution comes from Ward’s Automotive Yearbook, page 285. Overall in 2000, 25% of cars and 31% of pickups/SUVs were less than five years old. However, it seems likely that new vehicles are driven more than older ones. In particular, about 50% of registered cars are more than eight years old, some substantially more. 
Our issue with estimating marginal repair costs is not the average age of all vehicles, but the average age of the vehicles that are actually on the road at a given time. This is almost certainly more weighted toward newer cars. We assume that 33% of mileage is driven by vehicles less than 5 years old. So to get an overall baseline model repair cost we multiply the lower rate for newer cars by 0.33 and the higher rate for older cars by 0.67, and sum the two.
A higher percentage of pickups than cars are less than five years old. This is because pickup sales have increased considerably in the last few years, skewing the age distribution toward the new. However, the difference is not that big, and it does not have much impact on overall costs, so we ignore this complication. 
Finally, repair costs are multiplied by three adjustment factors: a 3% annual inflation rate, a pavement roughness multiplier, and a city/highway driving condition multiplier, in the same manner as described in the maintenance section.</t>
        </r>
      </text>
    </comment>
    <comment ref="A10" authorId="0">
      <text>
        <r>
          <rPr>
            <b/>
            <sz val="8"/>
            <rFont val="Tahoma"/>
            <family val="0"/>
          </rPr>
          <t xml:space="preserve">Much vehicle depreciation is due to the simple passage of time, but some fraction is dependent on the number of miles that the vehicle has been driven. Most estimates of depreciation are too high for our purposes because they are total depreciation (including age-based) divided by some assumed mileage. Here we are not interested in total depreciation, but only in the reduction in value that can be attributed directly to additional mileage being driven.
We were able to isolate the marginal per-mile depreciation by using standard tables from the N.A.D.A. Official Used Car Guide, Midwest Edition (March 2003). The purpose of these books is to value used cars with various features. Their approach is to offer a base value for a given model and year, and then adjust this value given the specific features of the car, such as automatic transmission, sunroof, and so on. One of the characteristics for which they offer specific adjustment factors is the car’s mileage.
Their method is to start from a standard mileage for a given model year, then adjust the value up or down based on deviations from this standard mileage. For example, a car with 5,000 fewer miles than the standard might be worth $200 more. They give price adjustments for 5,000-mile intervals. Each model is placed into one of four different classes, with different depreciation rates. The classes correspond to different original values of the cars; economy cars are Class I, while luxury cars are Class IV. Presumably more expensive cars also depreciate at a faster rate.
</t>
        </r>
      </text>
    </comment>
    <comment ref="A12" authorId="0">
      <text>
        <r>
          <rPr>
            <b/>
            <sz val="8"/>
            <rFont val="Tahoma"/>
            <family val="0"/>
          </rPr>
          <t xml:space="preserve">In an ideal world, it would be possible to get an actual enumeration of the models of cars and light truck that are currently registered in Minnesota, for purposes of developing an “average” per-mile cost for the fleet. However, this was not feasible given the computer system currently in use at the Department of Motor Vehicles. This would probably be the single most beneficial upgrade to this cost estimation program in the future, if this information becomes more easily available.
In the absence of this ideal data set, we developed a proxy for the Minnesota fleet based on the following procedure. The annual motor industry publication Ward’s Automotive Yearbook provides a wide range of summary-level data regarding the auto industry. Among these are a table that gives registrations by model for the U.S. as a whole, and another that gives registrations by make for each state. We used the second table to estimate the percent of the Minnesota fleet from each major brand, such as Chrysler, Plymouth, etc. We then used the U.S. data to estimate the percent within each brand to assign to each model. For example, if Chrysler is 10% of the registrations in Minnesota, we use that as the baseline, regardless of its size relative to the U.S. market. We then use the U.S. market numbers to assign Chrysler’s 10% share to its various models, since model-level registration data is only available at a national level.
Given this procedure, we derived a proxy for each car model as a fraction of the total car fleet, and each pickup/SUV model as a fraction of that fleet. We did this separately because high recent sales of pickups mean that our fractions based on recent sales data would assign too much weight to pickups relative to their importance in the entire existing fleet. Thus we use the fractions for cars, multiplied by the per-model costs, to get an average total cost for cars; and the fractions for pickups to get an average total cost for pickups. Finally, the two averages are averaged, based on the fraction of cars in the entire existing (U.S.) fleet. Currently 58% of the fleet is cars. We assume for simplicity that this ratio will continue in the future as it does not impact the overall average much, however, this parameter can be edited by the spreadsheet user. Better information about this ratio in Minnesota would be useful as we feel that there are probably relatively more pickups/SUVs here than the national average, especially given that pickups/SUVs have about 60% of recent sales in Minnesota, but only about 50% in the U.S. overall.
</t>
        </r>
        <r>
          <rPr>
            <sz val="8"/>
            <rFont val="Tahoma"/>
            <family val="0"/>
          </rPr>
          <t xml:space="preserve">
</t>
        </r>
      </text>
    </comment>
    <comment ref="A13" authorId="0">
      <text>
        <r>
          <rPr>
            <b/>
            <sz val="8"/>
            <rFont val="Tahoma"/>
            <family val="0"/>
          </rPr>
          <t xml:space="preserve">Finally, we develop two adjustment factors based on possible variations in roadway conditions. The first is based on pavement roughness, which will affect maintenance, tire, repair, and depreciation costs. Pavement roughness is typically measured by either Present Serviceability Rating (PSR), or International Roughness Index (IRI). (Some documents refer to Present Serviceability Index, or PSI, which is the same thing as PSR.) The second has to do with starting and stopping conditions, which could be summarized as “city” versus “highway” conditions. City conditions lead to measurably higher fuel consumption, and there is some consensus that maintenance and repair costs will be higher as well. Assigning a value to driving conditions will require some judgment on the part of the analyst.
While in the past there was some consensus that rough roads were associated with higher fuel consumption, it seems that the studies on which that conclusion was based were done in developing countries with much worse roads than the U.S. The consensus now is that there is no measurable different in fuel consumption on paved roads of different roughness. Fuel consumption is higher on gravel roads, but these are unlikely to be the subject of a benefit-cost analysis, even as part of a detour route. 
Impacts of pavement roughness on other operating costs were estimated by Texas Research and Development Foundation (1982). While this is the most detailed available source, the impacts of roughness on operating costs seem unrealistically large, especially for smoother pavement levels. It could be that these factors were mostly extrapolated from impacts observed at much higher roughness levels, or it could be that cars were much more prone to roughness-induced failures in the 1970s when the data were collected. Evidence for the latter theory is that the impacts that they estimate for large commercial trucks are much smaller than those for cars.
Evidence cited in Walls and Smith (1998), from a New Zealand study, indicates that overall costs will only vary by a cent per mile or less within the range of pavement roughness typically observed in the U.S. This document, however, notes an upcoming comprehensive study on pavement quality and operating costs. This study, Papagiannakis and Delwar (2001), concludes that a unit increase in IRI (in m/km) will lead to a $200 per year increase in maintenance and repair costs. The range in IRI between the smoothest and roughest pavement likely to be encountered on a major U.S. highway is perhaps 2 m/km, implying $400 in extra costs. Assuming 12,000 miles a year, this implies an extra cost of 3.3 cents per mile, which would amount to a 60% increase of maintenance and repair costs from the baseline level. 
</t>
        </r>
      </text>
    </comment>
    <comment ref="A14" authorId="0">
      <text>
        <r>
          <rPr>
            <b/>
            <sz val="8"/>
            <rFont val="Tahoma"/>
            <family val="0"/>
          </rPr>
          <t xml:space="preserve">Given all this, we base our adjustment factors on the Texas study, but limit the range of pavement roughness that we use, and use simplified truck adjustment factors for all vehicles. We take as a baseline that a PSI of 3.5 or better (IRI of about 80 inches/mile or 1.2 m/km) will have no impact on operating costs. We then adjust for three levels of rougher pavement as in Table 2.2. The adjustments that we use imply an extra cost of about 1 cent per mile between the smoothest and roughest pavement in maintenance and repair costs. However, because we also assume an impact on depreciation costs through reduced vehicle life, the total cost is about 2.5 cents per mile. This is in line with Papagiannakis and Delwar. From their findings a 1.5 increase in IRI, as we have in our range, would be $300 extra costs per year; at 12,000 miles per year this is 2.5 cents per mile.
Table 2.2: Effect of pavement roughness on operating costs
PSI                             IRI (inches/mile)     IRI (m/km or mm/m)       Adjustment multiplier
2.0 and worse               170                                        2.7                                    1.25
2.5                                   140                                        2.2                                     1.15
3.0                                   105                                         1.7                                    1.05
3.5 and better                 80                                        1.2                                     1.00
We assume that pavement roughness will affect maintenance, tire, repair, and depreciation costs. There is consensus in the literature for the first three of these.
There is no consensus in the literature that pavement roughness affects depreciation; however we include it here based more on casual experience than formal evidence. Experience suggests that a car that is driven almost exclusively on smooth highways will last more miles than one that is driven mostly on rough pavement. Since per-mile depreciation is reflecting the loss in “life expectancy” of the vehicle as it is driven more, factors that reduce the ultimate number of miles that the car can be driven must by implication be increasing the rate at which the car depreciates.
</t>
        </r>
      </text>
    </comment>
    <comment ref="A15" authorId="0">
      <text>
        <r>
          <rPr>
            <b/>
            <sz val="8"/>
            <rFont val="Tahoma"/>
            <family val="0"/>
          </rPr>
          <t xml:space="preserve">“City” as opposed to “highway” driving conditions involve a greater number of starts and stops, and time spent idling. This clearly affects fuel use, as reflected in the dual fuel mileage estimates produced by EPA for vehicle models. We include an option to specify that a project includes “city” driving conditions, which will have the effect that fuel consumption will be set to the EPA city level. We also include a “congestion” option, which sets fuel consumption at an even higher level, as suggested in ECONorthwest, Associates et al. (2002).
There is some evidence that stop-start conditions affect other costs as well, although here the impact is less clear. Brakes obviously will wear faster in city conditions, but tires and other parts will probably wear less due to the lower speeds. IntelliChoice, in a discussion of how often to change oil, notes that while manufacturers might recommend long intervals, they (the manufacturers) are also assuming generally highway driving, and consider city driving to be “extreme” conditions requiring more frequent oil replacement.
As a compromise, we assume that tire wear does not depend on start-stop conditions, but that other maintenance and repair costs will be affected. However, the impact should not be as large as the impact on fuel use. Some of the increased fuel use comes from the time that the car spends sitting still; this should not impact wear on other parts. We use a stop-start adjustment that is half as big as the adjustment for fuel use, and we cap it at the city level. That is, extreme congestion, while it further increases fuel consumption, should not increase wear on parts compared to ordinary city conditions. Overall, the maximum adjustment for this factor is about 70% for fuel use (for severe congestion) and about 17% for other costs.
We also assume that stop-start conditions will affect depreciation costs in the same way as they affect repair and maintenance. While this is not reflected in N.A.D.A. price guidance, this is in part because there is no way for the buyer to know the conditions under which the car has been driven. In terms of real loss of “life expectancy” though, it seems intuitive that a car driven in city conditions will not last as long as one that is driven mostly on the highway. And as with pavement roughness, a reduced vehicle life is equivalent to higher per-mile depreciation.
</t>
        </r>
        <r>
          <rPr>
            <sz val="8"/>
            <rFont val="Tahoma"/>
            <family val="0"/>
          </rPr>
          <t xml:space="preserve">
</t>
        </r>
      </text>
    </comment>
    <comment ref="A26" authorId="0">
      <text>
        <r>
          <rPr>
            <b/>
            <sz val="8"/>
            <rFont val="Tahoma"/>
            <family val="0"/>
          </rPr>
          <t xml:space="preserve">The figures in the previous section are for standard five axle “van” semi trucks assuming over-the-road interstate driving conditions.  Vans make up the largest percentage of semi trucks, and information we reviewed indicated that, relative to the purposes of this project, there is not a large difference in per-mile operating costs for the various semi truck types. We take these trucks as being representative of trucks that would be affected by a typical highway construction project, both because they are the most common type, and because their costs are a midpoint between the other two major truck types that we considered, as seen in Table 3.2.
Table 3.2: Truck costs by type
                                         semi-truck          straight truck—pick-up/delivery van               straight truck—industrial/construction
Fuel mileage                      6.5-7.0 mpg                                      8-9 mpg                                                                 5 mpg
Maint./repair costs           10-15 cents/mile                       8-10 cents/mile                                         15-25 cents/mile
We adjust these baseline truck costs by the same two factors as was done for cars: stop-start conditions and pavement roughness. We assume, for lack of better information, that stop-start conditions will impact trucks in the same way that they impact pickups/SUVs, which amounts to about a 31% increase in fuel, and 15% in maintenance and repair costs (excluding tires). We assume that pavement roughness will affect truck costs in the same way as car costs, as outlined in section 2.3. This is an increase of 5% for a PSI of 3.0, 15% for a PSI of 2.5, and 25% for a PSI of 2.0 and worse, applied to all costs except fuel.
</t>
        </r>
        <r>
          <rPr>
            <sz val="8"/>
            <rFont val="Tahoma"/>
            <family val="0"/>
          </rPr>
          <t xml:space="preserve">
</t>
        </r>
      </text>
    </comment>
    <comment ref="A25" authorId="0">
      <text>
        <r>
          <rPr>
            <b/>
            <sz val="8"/>
            <rFont val="Tahoma"/>
            <family val="0"/>
          </rPr>
          <t xml:space="preserve">Mileage-based depreciation is not broken out as a separate category in the published literature. As with automobiles, the interest seems to be in overall depreciation, assuming a certain annual mileage. The head of a local trucking company gave estimates of the values of trucks of a given age with differing mileage, which implied that the marginal impact of mileage independent of vehicle age is about 5 cents per mile. This is in the same range as the mileage-based depreciation for cars. This is probably reasonable since although trucks cost much more they also last much longer. Another confirmation comes from the 1977 AASHTO user benefit analysis manual, which estimates auto depreciation at 3.32 cents per mile, a 2-axle truck at 3.5 cents, and a 5-axle semi at 3.0 cents. These numbers are in 1977 dollars and are describing vehicles with a generally shorter life-span than is the case now, so the numbers themselves are not useful. However, the point that all these different vehicles depreciate at about the same per-mile rate confirms what we have found in our analysis.
Based on these sources, we use a depreciation rate that is derived from the rate for the most expensive cars. That is, we use the class 4 depreciation schedule, assuming that 70% of mileage is driven by trucks less than 5 years old, and 30% by trucks 5 years old and more. Newer trucks are driven 100,000 miles per year or more, and older trucks at a much reduced rate. Overall these assumptions lead to a depreciation rate of 8 cents per mile.
</t>
        </r>
        <r>
          <rPr>
            <sz val="8"/>
            <rFont val="Tahoma"/>
            <family val="0"/>
          </rPr>
          <t xml:space="preserve">
</t>
        </r>
      </text>
    </comment>
    <comment ref="A24" authorId="0">
      <text>
        <r>
          <rPr>
            <b/>
            <sz val="8"/>
            <rFont val="Tahoma"/>
            <family val="0"/>
          </rPr>
          <t>The literature cited here shows a range of 2.1 to 4.0 cents per mile for tire costs. We use 3.5 cents as a conservative midrange estimate. Again, this is about 3 times the cost per mile for tires for passenger vehicles.</t>
        </r>
        <r>
          <rPr>
            <sz val="8"/>
            <rFont val="Tahoma"/>
            <family val="0"/>
          </rPr>
          <t xml:space="preserve">
</t>
        </r>
      </text>
    </comment>
    <comment ref="A23" authorId="0">
      <text>
        <r>
          <rPr>
            <b/>
            <sz val="8"/>
            <rFont val="Tahoma"/>
            <family val="0"/>
          </rPr>
          <t xml:space="preserve">In the literature we surveyed, scheduled maintenance and unscheduled repair are typically included together. Based upon information from the Bureau of Transportation Statistics and Berwick, it is likely that the actual rate of inflation for maintenance costs has been significantly less than the CPI over the past ten to fifteen years, and these prices might have even declined over this time. The literature shows a range of 7.1 to 15.5 cents per mile; excluding those two outliers, the range is 10 to 12. 
Zaniewski, et al. provide information which is not useful in absolute terms as it is more than 20 years old, but which indicates that large truck maintenance costs are about 3 times that of a mid-sized car. As car maintenance and repair costs in our model turn out to be about 3.5 cents per mile, we use an estimate of 10.5 cents per mile for truck costs. This is also consistent with the central estimates from the published sources. 
Although these costs appear to have inflated very little in the last 10 years, we assume that in the future they will inflate at the rate assumed for automobile maintenance costs, or 3% per year. The stable prices in the past appear to have been at least in part a result of deregulation and increasing competition in the industry; an impact which will likely not continue in the future.
</t>
        </r>
        <r>
          <rPr>
            <sz val="8"/>
            <rFont val="Tahoma"/>
            <family val="0"/>
          </rPr>
          <t xml:space="preserve">
</t>
        </r>
      </text>
    </comment>
    <comment ref="A22" authorId="0">
      <text>
        <r>
          <rPr>
            <b/>
            <sz val="8"/>
            <rFont val="Tahoma"/>
            <family val="0"/>
          </rPr>
          <t xml:space="preserve">The sources of information identified above had fuel costs ranging from 17.3 cents per mile (Roth) to 21.6 cents per mile (Faucett Associates).  Assuming nominal fuel costs at $1.25, this range translates to a range of approximately 7.2 miles per gallon to 5.8 miles per gallon.  The Volvo guidance document assumes an average of 6 miles per gallon. Conversations with trucking sources indicate that a big combination truck would get about 6.5 to 7 miles per gallon, and smaller delivery trucks about 9. Based on these facts, we assume 7 miles per gallon as the input for our model. 
Historical diesel prices can be found on the internet. As with gas prices, we recommend that the analyst simply use the current price for purposes of cost estimation, unless specific credible forecasts are available.
</t>
        </r>
        <r>
          <rPr>
            <sz val="8"/>
            <rFont val="Tahoma"/>
            <family val="0"/>
          </rPr>
          <t xml:space="preserve">
</t>
        </r>
      </text>
    </comment>
    <comment ref="A18" authorId="0">
      <text>
        <r>
          <rPr>
            <b/>
            <sz val="8"/>
            <rFont val="Tahoma"/>
            <family val="0"/>
          </rPr>
          <t xml:space="preserve">Our methodology for determining truck operating costs differs substantially from that for passenger vehicles because there are very different types of information available. When looking at cars, there are many third party sources that estimate operating costs and resale values of different models, as a service to potential buyers. No similar service exists for trucks. This is probably because buyers of trucks are more knowledgeable about their purchases, and hence have less use for such services. Since they are using trucks for a specific purpose, they tend to buy the same type of truck over and over, and hence have a good understanding of costs and resale values. 
The result of this lack of third party cost estimates is that we must develop estimates of truck costs more from research sources, which will in general be aimed at purposes slightly different than ours. That is, they may include some fixed costs, or some costs that may vary with the number of trips but not with the number of miles driven. Thus our methodology for truck costs is primarily focused on analyzing several estimates of these costs, reconciling the differences between them, and deriving a “consensus” estimate that corresponds to the specific costs that we are interested in here.
While there are obviously many different sizes and types of trucks, we estimate a single composite value to account for all of them. This was done for two reasons. First, analysts will typically not have detailed counts of different types of trucks. Second, and more importantly, we could not establish robust estimates of the costs of operating different types of trucks. The available sources tend to focus either on long-haul tractor-trailer combination trucks, or on “all” commercial trucks; there does not seem to be much information on how types of trucks differ from each other. 
The lack of information on the costs of different truck types is especially problematic given that we are interested in a specific type of cost, namely operating the truck on a highway under varying start-stop and pavement roughness conditions. However, available estimates of operating costs tend to focus on the “typical” environment for a truck type, which may be very different from this. For example, trucks used in construction and for deliveries operate mostly in extreme conditions; on a highway they may cost less, but no one has had reason to figure this out. And ultimately we don’t have that much precision available on the costs of combination trucks, which are the type that we know the most about. So to be conservative, we derive a consensus operating cost and assume that this cost applies to all truck types.
</t>
        </r>
        <r>
          <rPr>
            <sz val="8"/>
            <rFont val="Tahoma"/>
            <family val="0"/>
          </rPr>
          <t xml:space="preserve">
</t>
        </r>
      </text>
    </comment>
    <comment ref="A20" authorId="0">
      <text>
        <r>
          <rPr>
            <b/>
            <sz val="8"/>
            <rFont val="Tahoma"/>
            <family val="0"/>
          </rPr>
          <t xml:space="preserve">· External Costs of Truck and Rail Freight Transportation; David J. Forkenbrock, Public Policy Center, University of Iowa, 1998.  The primary purpose of this book is to examine the full social costs associated with freight movement, including “external costs” (those which are not reflected in market-driven prices) such as environmental and congestion impacts.  The author summarizes “private” trucking costs (conventional costs reflected in prices) as derived from operating and financial data compiled by the American Trucking Associations (ATA).  The private costs are the base upon which external costs are added to estimate full societal costs. While the focus of the book is on external costs, the summary of private costs was of significant interest for our purposes. 
· Operating Costs of Trucks In Canada – 2001, Trimac Logistics, Ltd., for Transport Canada, Economic Analysis Directorate.  The purpose of this study is to determine 2001 trucking costs for each of the provincial and territorial regions in Canada and to develop US-based trucker comparisons.  This is the 20th annual edition of the report series, which began in 1972.  It provides estimates for ten categories of semi trucks plus smaller two-axel delivery trucks.  It uses a computer model to develop cost estimates.  The information used to set up and utilize this model was derived from a number of sources including: quotes from suppliers of equipment, tires, and fuel; consultation with experts in the field; review of relevant published literature; others. 
· Partners in Business (Chapter 13—Cost of Operation); Volvo Trucks (internet base-report/information), 2003.  This document is produced by Volvo Trucks as a guide to help individual owner-operators understand their economic considerations and maximize profits.  While it is generated by an equipment supplier, it is reportedly considered within the industry to be a legitimate and useful source of business and cost information pertaining to trucking operations.
· Major Motor Carrier Index (compilation of data for 2001 and Quarter 1 of 2001); Bureau of Transportation Statistics (BTS), US Department of Transportation.  This information is a summary of data compiled from financial and operating statistics required to be submitted by Class I carriers to BTS.  The index information reviewed for our study did not break down trucking costs by category, but was of interest to provide context for our distance-dependant costs.      
</t>
        </r>
        <r>
          <rPr>
            <sz val="8"/>
            <rFont val="Tahoma"/>
            <family val="0"/>
          </rPr>
          <t xml:space="preserve">
</t>
        </r>
      </text>
    </comment>
    <comment ref="A11" authorId="0">
      <text>
        <r>
          <rPr>
            <b/>
            <sz val="8"/>
            <rFont val="Tahoma"/>
            <family val="0"/>
          </rPr>
          <t xml:space="preserve">There are two complications. First, the marginal bonus or penalty for non-standard mileage is larger for older cars than for newer ones, likely reflecting the idea that additional miles matter more as a car gets closer to the end of its expected useful life. To account for this, we use a different depreciation rate for cars more than four years old, as we did when estimating repair costs. Second, the bonus for low mileage is smaller than the penalty for high mileage, and also varies depending on the total deviation from the standard value. To derive a representative average from this, we take a rough average of the marginal price difference for 5,000 and 10,000 miles over and under the average. Thus we use the following table as representative of the marginal depreciation cost of 5,000 miles:
Table 2.1: Marginal depreciation per 5,000 miles (dollars)
Class              &lt; 5 years old      5 years and over
I                              150                        275 
II                            200                        350 
III                          275                        475 
IV                           325                         575 
We divide the above numbers by 5,000 to get a per-mile depreciation cost for each of the four classes of vehicles. We then assign each model to the appropriate class to get the cost for that model. Then the “less than 5 years old” cost is multiplied by the fraction of VMT that is driven by newer vehicles (explained in the section on repair costs), and the “5 years and older” cost by the fraction of VMT driven by older vehicles. 
There are two adjustment factors assumed for depreciation. We recommend no inflation factor, although we include the option in the spreadsheet, as auto prices appear from CPI results to have been steady for several years. The pavement roughness and stop-start conditions multipliers are applied in the same way as for maintenance and repairs. 
</t>
        </r>
        <r>
          <rPr>
            <sz val="8"/>
            <rFont val="Tahoma"/>
            <family val="0"/>
          </rPr>
          <t xml:space="preserve">
                  </t>
        </r>
      </text>
    </comment>
    <comment ref="A19" authorId="0">
      <text>
        <r>
          <rPr>
            <b/>
            <sz val="8"/>
            <rFont val="Tahoma"/>
            <family val="0"/>
          </rPr>
          <t xml:space="preserve">We reviewed a number of sources of semi truck operating costs.  The most significant of these are listed below:
· Benchmarking the Fleet; Ronald D. Roth, The Private Carrier, October 1993.  In this article, Roth used data from annual financial reports submitted by major general freight carriers to the Interstate Commerce Commission.  The article addresses line-haul costs only.  The primary purpose of the report is to help companies that have their own trucking fleets to compare their costs against for-hire trucking operations.  The author acknowledges that the cost information as summarized in the report is to a significant degree subject to how given trucking companies chose to report their costs.
· The Effect of Size and Weight Limits on Truck Costs; Jack Faucett Associates, for the US Department of Transportation, revised October 1991.  This report was one of a number of technical reports as part of the US Department of Transportation’s Truck Size and Weight and User Fee Policy Analysis Study.  It lists and briefly summarizes a number of previous studies that looked at trucking costs-per-mile.  Using these sources and others, the authors developed estimates of cost per vehicle-mile as a function of vehicle configuration and operating gross vehicle weight (GVW) ratings.  
· Truck Costs for Owner/Operators; Mark D. Berwick, Upper Great Plains Transportation Institute (North Dakota State University), September 1997.  In this paper, the author designed a spreadsheet simulation model which projects trucking costs for different truck configurations, trailer types, and trip movements.  Cost assumptions within the model were derived prior truck costing studies and interviews with various trucking experts.  
· Fruit and Vegetable Truck Fleet Cost Report No. 08, US Department of Agriculture AMS Market News Service, August 1996 (included in “Cost-per-Mile” information packet prepared by the American Trucking Association).  Cost information was based upon annual reports to the Interstate Commerce Commission from 48 long distance haulers of perishable agricultural products and solid refrigerated products.  
</t>
        </r>
        <r>
          <rPr>
            <sz val="8"/>
            <rFont val="Tahoma"/>
            <family val="0"/>
          </rPr>
          <t xml:space="preserve">
</t>
        </r>
      </text>
    </comment>
    <comment ref="A21" authorId="0">
      <text>
        <r>
          <rPr>
            <b/>
            <sz val="8"/>
            <rFont val="Tahoma"/>
            <family val="0"/>
          </rPr>
          <t xml:space="preserve">These documents had differing data sources, methods, and assumptions behind their cost information.  Our goal was to come up with figures that would reasonably and broadly reconcile with the information available in the sources identified above.  Table 3.1 shows the costs taken from the key sources described above, both total and for specific categories of interest. In all cases except Volvo, the total costs include some amount related to driver wages and indirect costs. The dates in the “source” column are the years on which the analyses are based, not the year the report was published. The subsequent sections describe how we determined “consensus” values for purposes of this report.
Table 3.1: Truck literature cost summary (cents per mile)
Source               Total costs              Fuel              Maint./Repair                Tires
Roth, 1992              121                     17.3                        12.0                         2.5
Faucett, 1988         109                     21.6                        10.9                         3.5
Berwick, 1996         104                     19.0                       10.0                          4.0
USDA, 1995              108                    19.1                        15.5                          2.8
Trimac, 2001           174                     24.4                       10.5                          3.5
Volvo, 2000              64                      6 mpg                     7.1                            2.1
</t>
        </r>
        <r>
          <rPr>
            <sz val="8"/>
            <rFont val="Tahoma"/>
            <family val="0"/>
          </rPr>
          <t xml:space="preserve">
</t>
        </r>
      </text>
    </comment>
    <comment ref="A28" authorId="0">
      <text>
        <r>
          <rPr>
            <b/>
            <sz val="8"/>
            <rFont val="Tahoma"/>
            <family val="0"/>
          </rPr>
          <t xml:space="preserve">The ultimate objective of this research was the development of a spreadsheet that analysts can use to estimate vehicle operating costs for specific projects. The estimates of vehicle operating costs per mile are based on the research described in the previous chapters. The spreadsheet assists in the calculation of per-mile costs for a given project by automating the application of fuel prices and other variable adjustment factors.
While the spreadsheet contains a number of separate pages, the user will typically only be interested in the “user input” page. This is where the user will enter project cost parameters, and the results in terms of average and total costs will be shown on this page. The first section of this chapter describes how to use this page of the spreadsheet. The worksheet also contains several pages of raw data and intermediate calculations. There may be reasons the user would want to modify these underlying formulas; the final section of this chapter describes how to do this.
Typically the analyst will want to compare a number of alternative project scenarios. In particular, the proposed project will usually be compared with the status quo, but it may also be compared with alternative designs or schedules. To facilitate these types of comparisons, the user input page is organized so that the inputs are entered into columns; each of the four available columns describes a different scenario. The multiple columns could also be used for situations where different parts of the project have different characteristics. For example, different phases of the project might involve detours of different lengths, or driving conditions in terms of congestion might depend on the time of day.
The first column of the page gives the names of the various input and output rows. Attached to each name is a comment that describes what it is; left-clicking on the name cell will display the comment.
The page “Methodologies” contains links to Word documents that are extracts from this final report, describing in detail the methodologies for specific cost elements.
</t>
        </r>
        <r>
          <rPr>
            <sz val="8"/>
            <rFont val="Tahoma"/>
            <family val="0"/>
          </rPr>
          <t xml:space="preserve">
</t>
        </r>
      </text>
    </comment>
    <comment ref="A29" authorId="0">
      <text>
        <r>
          <rPr>
            <b/>
            <sz val="8"/>
            <rFont val="Tahoma"/>
            <family val="0"/>
          </rPr>
          <t xml:space="preserve">There are four types of information. They describe driving conditions, pavement roughness, fuel prices, and cost inflation. User inputs are shown in green type on the “User Input and Results” page.
The description of driving conditions reflects the idea that costs such as fuel and some maintenance and repair costs will be higher in a situation with frequent stops and starts than on a free-flow highway. The input is set up so that there are three levels of driving conditions: highway, city, and severe congestion. Highway represents generally free-flow conditions, including some infrequent stops. City represents conditions of frequent starts and stops but with generally smooth-flowing traffic in between. The congestion option is included here to represent conditions that are considerably worse than ordinary city conditions; these sorts of conditions can easily arise during construction due to lane closures and so on.
The data is entered as the proportion of the total project that falls in each of the three levels. For example, a 12-mile project with 9 miles of highway and 3 miles of city conditions, would be entered as 0.25 in city, 0.75 in highway, and zero in congestion. There is an error cell built in so that if the total does not add to one, the cell will indicate this.
The entry for pavement roughness works the same way, in which the proportion of the project that falls in each roughness level is entered. Here there are a sequence of pavement roughness levels that correspond to the widely used “Present Serviceability Index”. The levels included here range from 2.0 to 3.5, which represents the range likely to be relevant in Minnesota; conditions worse than 2.0 rarely if ever occur, and better than 3.5 has no impact on costs. Comments attached to these cells convert PSI into IRI if that is the information that is available. 
</t>
        </r>
        <r>
          <rPr>
            <sz val="8"/>
            <rFont val="Tahoma"/>
            <family val="0"/>
          </rPr>
          <t xml:space="preserve">
</t>
        </r>
      </text>
    </comment>
    <comment ref="A30" authorId="0">
      <text>
        <r>
          <rPr>
            <b/>
            <sz val="8"/>
            <rFont val="Tahoma"/>
            <family val="0"/>
          </rPr>
          <t xml:space="preserve">There are two fuel cost parameters. Gasoline prices impact costs for autos and pickups/SUVs, while diesel prices affect costs for large commercial trucks. As these costs don’t appear to follow any useful trend, we recommend that the analyst simply use the current price, unless a specific credible forecast is available.
 Finally, there are four cost adjustment parameters. The inflation rates for repair and maintenance will affect the size of these costs in years after 2003. This rate has been about 3% for several years. In the spreadsheet the analyst should enter 1.03n, where n is the current year minus 2003. 
A more thorough upgrade several years in the future would include replacing the baseline cost information originally taken from the Intellichoice cost guides, and the sales information from Wards. This could probably be done in a matter of a few hours. A reduced version of this might be to pick 10 or so major sellers, check the new cost information for those against the figures in the spreadsheet, and simply enter new parameters in the maintenance and repair cost adjustment that reflect the average increase for that sample of vehicles. We use the 2002 book to predict 2003 costs, since the book is forecasting future ownership costs, so updates should use the book from year n to represent costs for year n+1.
There are also lines available to input cost adjustment parameters for tires and depreciation. Currently we recommend that these be set to 1, since the evidence indicates that these costs have not changed much for a number of years. However, if different information becomes available, these costs could be adjusted. As with maintenance, an aggregate cost adjustment should be entered, not an annual inflation rate.
A full or partial upgrade for tire costs would be taken from Intellichoice, the same as maintenance and repair costs, with the same time commitments. An upgrade for depreciation would be simpler, since these numbers are simply a series of tables in the front of the N.A.D.A. guides; the analyst would simply need to replace the tables at the bottom of the user input page, with the new tables.
</t>
        </r>
        <r>
          <rPr>
            <sz val="8"/>
            <rFont val="Tahoma"/>
            <family val="0"/>
          </rPr>
          <t xml:space="preserve">
</t>
        </r>
      </text>
    </comment>
    <comment ref="A31" authorId="0">
      <text>
        <r>
          <rPr>
            <b/>
            <sz val="8"/>
            <rFont val="Tahoma"/>
            <family val="0"/>
          </rPr>
          <t xml:space="preserve">The interpretation of all of these inputs is fairly straightforward. The primary complication that could arise lies more in defining the project, in that parameters might not be uniform over an entire project and so it may be necessary to break the project into uniform components. Some possible examples of this might include:
· The driving conditions and pavement quality of detour routes change over the course of a project
· Driving conditions are congested at some times of day but free-flowing at others (or there is seasonal variation)
To some extent it should be possible to get around most of these issues within the context of a single scenario by hand-calculating an “average” level of the parameter in question. However, in other cases it may be interesting to understand exactly what the impacts of the variations are; in these cases a single project can be broken into several separate components with each described explicitly as a different scenario.
</t>
        </r>
        <r>
          <rPr>
            <sz val="8"/>
            <rFont val="Tahoma"/>
            <family val="0"/>
          </rPr>
          <t xml:space="preserve">
</t>
        </r>
      </text>
    </comment>
    <comment ref="A32" authorId="0">
      <text>
        <r>
          <rPr>
            <b/>
            <sz val="8"/>
            <rFont val="Tahoma"/>
            <family val="0"/>
          </rPr>
          <t xml:space="preserve">The spreadsheet is set up so that all the basic parameters that a user might want to modify can be edited directly on the user input page. Beyond this, modifications to the spreadsheet would involve changing the actual structure of the formulas from which the costs are calculated. This might be desirable, for example, if the user wanted to calculate a particular cost using a different method. We assume that anyone trying to do this will already have a solid grasp of the technical aspects of working with spreadsheets, and the ability to interpret and appropriately modify the formulas. Thus this section focuses on describing the basic flow of information.
The general strategy for the spreadsheet is to calculate baseline information about each of the five cost categories for cars, pickups/SUVs, and large commercial trucks. Then scenario-specific parameters such as fuel prices and operating conditions are applied to this baseline cost information to create costs for each of the five elements and each of the three vehicle types. 
The fraction of the total fleet that each model comprises is calculated in the sheet “Vehicle Counts.” Fractions are calculated separately for cars and for pickups/SUVs/vans. The sheet “Cost Data and Calculations” contains the raw cost data by cost category for all the vehicle models. It also contains intermediate calculations which convert these raw data into costs per mile, and then weight these costs by the fraction of each model in the fleet, to arrive at aggregate baseline costs by category for cars and pickups/SUVs/vans. These aggregate baseline costs are shown in the top two rows of the sheet. The one exception is fuel costs, which are shown as gallons per mile; they are converted into costs on the main user page because the fuel price is scenario-dependent.
The page “User Input and Results” is the only one that the user would typically want to see. The top part of the page contains user inputs and results for four scenarios. Normally the user would only work in this part of the page, unless there were reasons to modify some of the baseline costs and parameters. The bottom part of the page contains other inputs which do not vary by scenario, such as baseline commercial truck costs, and some intermediate calculations. Any calculations that are scenario-dependent are done on this page. Of the baseline costs that do not vary by scenario, some come from the “Cost Data and Calculations” page, and some are at the bottom of this page. All parameters that influence the costs in any way are entered on this page.
The first column of this page where row headings are shown contains comments which explain what that row is. For results, this comments describes briefly the methodology by which that cost is calculated. For user inputs and parameters, it describes what the input or parameter is, and the recommended entry.
</t>
        </r>
        <r>
          <rPr>
            <sz val="8"/>
            <rFont val="Tahoma"/>
            <family val="0"/>
          </rPr>
          <t xml:space="preserve">
</t>
        </r>
      </text>
    </comment>
  </commentList>
</comments>
</file>

<file path=xl/sharedStrings.xml><?xml version="1.0" encoding="utf-8"?>
<sst xmlns="http://schemas.openxmlformats.org/spreadsheetml/2006/main" count="132" uniqueCount="120">
  <si>
    <t>EPA City Mileage--mpg</t>
  </si>
  <si>
    <t>EPA Highway Mileage--mpg</t>
  </si>
  <si>
    <t>5-yr Maintenance Costs (including tires)--$$</t>
  </si>
  <si>
    <t>5-Year Repair Costs--$$</t>
  </si>
  <si>
    <t>Tire Replacement Costs (per 45k miles)--$$</t>
  </si>
  <si>
    <t>N.A.D.A Mileage Depreciation Category</t>
  </si>
  <si>
    <t>B.  VANS/SUVS/PICKUPS</t>
  </si>
  <si>
    <t>A. DOMESTIC AND FOREIGN AUTOS</t>
  </si>
  <si>
    <t>US 2000</t>
  </si>
  <si>
    <t>US 1999</t>
  </si>
  <si>
    <t>US 1998</t>
  </si>
  <si>
    <t>3 year average</t>
  </si>
  <si>
    <t xml:space="preserve">MN make total </t>
  </si>
  <si>
    <t xml:space="preserve">MN Model (estimated) </t>
  </si>
  <si>
    <t>Depreciation costs per 5000 miles</t>
  </si>
  <si>
    <t>Class</t>
  </si>
  <si>
    <t>&lt;5 years old</t>
  </si>
  <si>
    <t>5 years and more</t>
  </si>
  <si>
    <t>Depreciation &lt;5 years old</t>
  </si>
  <si>
    <t>Depreciation 5 years and up</t>
  </si>
  <si>
    <t>Scenario 1</t>
  </si>
  <si>
    <t>Scenario 2</t>
  </si>
  <si>
    <t>Scenario 3</t>
  </si>
  <si>
    <t>Scenario 4</t>
  </si>
  <si>
    <t>Project characteristics</t>
  </si>
  <si>
    <t>Operating characteristics</t>
  </si>
  <si>
    <t>Cost Parameters</t>
  </si>
  <si>
    <t>COST RESULTS</t>
  </si>
  <si>
    <t>Price of gas in cents</t>
  </si>
  <si>
    <t>cars</t>
  </si>
  <si>
    <t>trucks</t>
  </si>
  <si>
    <t>Fraction of cars in fleet</t>
  </si>
  <si>
    <t>Depreciation</t>
  </si>
  <si>
    <t>Highway</t>
  </si>
  <si>
    <t>City</t>
  </si>
  <si>
    <t>Severe congestion</t>
  </si>
  <si>
    <t>Intermediate calculations</t>
  </si>
  <si>
    <t>Maintenance non-tire</t>
  </si>
  <si>
    <t>Truck costs</t>
  </si>
  <si>
    <t>Maint/rep (non-tire)</t>
  </si>
  <si>
    <t>Tire</t>
  </si>
  <si>
    <t>Fuel MPG</t>
  </si>
  <si>
    <t>Adjustment:</t>
  </si>
  <si>
    <t xml:space="preserve">          Fuel</t>
  </si>
  <si>
    <t xml:space="preserve">          Maintenance</t>
  </si>
  <si>
    <t xml:space="preserve">          Tires</t>
  </si>
  <si>
    <t xml:space="preserve">          Repair</t>
  </si>
  <si>
    <t xml:space="preserve">          Depreciation</t>
  </si>
  <si>
    <t>VMT cars 5 years old and less</t>
  </si>
  <si>
    <t>3.5 and better</t>
  </si>
  <si>
    <t>Pavement roughness multiplier</t>
  </si>
  <si>
    <t>Price of diesel in cents</t>
  </si>
  <si>
    <t>Fraction of total repair costs in year 5</t>
  </si>
  <si>
    <t>2.0 and worse</t>
  </si>
  <si>
    <t>Maint. and repair cost adjustment</t>
  </si>
  <si>
    <t>Recommend 3% a year, baseline 2003.</t>
  </si>
  <si>
    <t>Recommend current price</t>
  </si>
  <si>
    <t>Depreciation cost adjustment</t>
  </si>
  <si>
    <t>Tire cost adjustment</t>
  </si>
  <si>
    <t>Recommend no adjustment unless indicated by specific information</t>
  </si>
  <si>
    <t xml:space="preserve">          Maintenance/Repair</t>
  </si>
  <si>
    <t>City penalty car gas</t>
  </si>
  <si>
    <t>City penalty car other</t>
  </si>
  <si>
    <t>City penalty truck gas</t>
  </si>
  <si>
    <t>City penalty truck other</t>
  </si>
  <si>
    <t>General parameters</t>
  </si>
  <si>
    <t xml:space="preserve">                           Vehicle Operating Cost Worksheet               </t>
  </si>
  <si>
    <t>Pavement roughness (PSI units)</t>
  </si>
  <si>
    <t>Avg. personal vehicle cost</t>
  </si>
  <si>
    <t xml:space="preserve">     Automobile</t>
  </si>
  <si>
    <t>Large truck (composite estimate)</t>
  </si>
  <si>
    <t xml:space="preserve">     Pickup / SUV / Van</t>
  </si>
  <si>
    <t xml:space="preserve">     Fuel</t>
  </si>
  <si>
    <t xml:space="preserve">     Maintenance</t>
  </si>
  <si>
    <t xml:space="preserve">     Tires</t>
  </si>
  <si>
    <t xml:space="preserve">     Repair</t>
  </si>
  <si>
    <t xml:space="preserve">  Fuel</t>
  </si>
  <si>
    <t xml:space="preserve">  Tires</t>
  </si>
  <si>
    <t xml:space="preserve">  Depreciation</t>
  </si>
  <si>
    <t xml:space="preserve">         (2003 cents per mile)</t>
  </si>
  <si>
    <t>Highway gallons per mile</t>
  </si>
  <si>
    <t>City driving penalty ratio</t>
  </si>
  <si>
    <t>Maint. per mile</t>
  </si>
  <si>
    <t>Tires per mile</t>
  </si>
  <si>
    <t>Repair per mile years 1-4</t>
  </si>
  <si>
    <t>Repair per mile years 5 and older</t>
  </si>
  <si>
    <t>Weighted average repair per mile</t>
  </si>
  <si>
    <t>Deprec. per mile years 1-4</t>
  </si>
  <si>
    <t>Deprec. per mile years 5 and older</t>
  </si>
  <si>
    <t>Weighted average deprec. per mile</t>
  </si>
  <si>
    <t>Total car weighted average for fleet:</t>
  </si>
  <si>
    <t>Total pickup weighted average for fleet:</t>
  </si>
  <si>
    <t>Highway mileage times % of fleet</t>
  </si>
  <si>
    <t>City penalty times % of fleet</t>
  </si>
  <si>
    <t>Maint. times % of fleet</t>
  </si>
  <si>
    <t>Tire times % of fleet</t>
  </si>
  <si>
    <t>Repair times % of fleet</t>
  </si>
  <si>
    <t>Deprec. times % of fleet</t>
  </si>
  <si>
    <t>Personal vehicle cost overview</t>
  </si>
  <si>
    <t>Click on the  cell to see full documentation</t>
  </si>
  <si>
    <t>Fleet averaging/adjustment factors</t>
  </si>
  <si>
    <t>Commercial truck costs overview</t>
  </si>
  <si>
    <t>Cost summary</t>
  </si>
  <si>
    <t>Data sources 1</t>
  </si>
  <si>
    <t>Data sources 2</t>
  </si>
  <si>
    <t>(If the entire comment is not visible, scroll so that the cell is at the top of the screen.)</t>
  </si>
  <si>
    <t xml:space="preserve">     Depreciation 1</t>
  </si>
  <si>
    <t xml:space="preserve">     Depreciation 2</t>
  </si>
  <si>
    <t>Spreadsheet documentation overview</t>
  </si>
  <si>
    <t xml:space="preserve">  Maintenance and repair</t>
  </si>
  <si>
    <t xml:space="preserve">  The vehicle fleet</t>
  </si>
  <si>
    <t xml:space="preserve">  Adjustment factors part 1</t>
  </si>
  <si>
    <t xml:space="preserve">  Adjustment factors part 2</t>
  </si>
  <si>
    <t xml:space="preserve">  Adjustment factors part 3</t>
  </si>
  <si>
    <t xml:space="preserve">  Modifying the spreadsheet</t>
  </si>
  <si>
    <t xml:space="preserve">  Editing cost parameters 1</t>
  </si>
  <si>
    <t xml:space="preserve"> Editing cost parameters 2</t>
  </si>
  <si>
    <t xml:space="preserve"> Editing cost parameters 3</t>
  </si>
  <si>
    <t>Fraction of total</t>
  </si>
  <si>
    <t>User Instructions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</si>
</sst>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_(* #,##0_);_(* \(#,##0\);_(* &quot;-&quot;??_);_(@_)"/>
    <numFmt numFmtId="166" formatCode="_(* #,##0.0_);_(* \(#,##0.0\);_(* &quot;-&quot;??_);_(@_)"/>
    <numFmt numFmtId="167" formatCode="_(* #,##0.0_);_(* \(#,##0.0\);_(* &quot;-&quot;?_);_(@_)"/>
    <numFmt numFmtId="168" formatCode="#,##0.0"/>
    <numFmt numFmtId="169" formatCode="#,##0.000"/>
    <numFmt numFmtId="170" formatCode="#,##0.0000"/>
    <numFmt numFmtId="171" formatCode="_(* #,##0.000_);_(* \(#,##0.000\);_(* &quot;-&quot;??_);_(@_)"/>
    <numFmt numFmtId="172" formatCode="_(* #,##0.0000_);_(* \(#,##0.0000\);_(* &quot;-&quot;??_);_(@_)"/>
    <numFmt numFmtId="173" formatCode="m/d"/>
    <numFmt numFmtId="174" formatCode="#,##0.00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b/>
      <u val="single"/>
      <sz val="12"/>
      <name val="Arial"/>
      <family val="2"/>
    </font>
    <font>
      <b/>
      <sz val="14"/>
      <name val="Arial"/>
      <family val="2"/>
    </font>
    <font>
      <sz val="10"/>
      <color indexed="17"/>
      <name val="Arial"/>
      <family val="2"/>
    </font>
    <font>
      <sz val="10"/>
      <color indexed="16"/>
      <name val="Arial"/>
      <family val="2"/>
    </font>
    <font>
      <sz val="8"/>
      <name val="Tahoma"/>
      <family val="0"/>
    </font>
    <font>
      <b/>
      <sz val="8"/>
      <name val="Tahoma"/>
      <family val="0"/>
    </font>
    <font>
      <sz val="14"/>
      <color indexed="10"/>
      <name val="Arial"/>
      <family val="2"/>
    </font>
    <font>
      <sz val="14"/>
      <name val="Arial"/>
      <family val="2"/>
    </font>
    <font>
      <b/>
      <sz val="8"/>
      <name val="Arial"/>
      <family val="2"/>
    </font>
  </fonts>
  <fills count="3">
    <fill>
      <patternFill/>
    </fill>
    <fill>
      <patternFill patternType="gray125"/>
    </fill>
    <fill>
      <patternFill patternType="solid">
        <fgColor indexed="43"/>
        <bgColor indexed="64"/>
      </patternFill>
    </fill>
  </fills>
  <borders count="10">
    <border>
      <left/>
      <right/>
      <top/>
      <bottom/>
      <diagonal/>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22">
    <xf numFmtId="3" fontId="0" fillId="0" borderId="0">
      <alignment horizont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2">
    <xf numFmtId="3" fontId="0" fillId="0" borderId="0" xfId="0" applyAlignment="1">
      <alignment horizontal="center"/>
    </xf>
    <xf numFmtId="3" fontId="0" fillId="0" borderId="0" xfId="0" applyAlignment="1">
      <alignment wrapText="1"/>
    </xf>
    <xf numFmtId="3" fontId="0" fillId="0" borderId="0" xfId="0" applyNumberFormat="1" applyAlignment="1">
      <alignment horizontal="center"/>
    </xf>
    <xf numFmtId="3" fontId="0" fillId="0" borderId="0" xfId="0" applyAlignment="1">
      <alignment horizontal="left"/>
    </xf>
    <xf numFmtId="3" fontId="0" fillId="0" borderId="0" xfId="0" applyFill="1" applyBorder="1" applyAlignment="1">
      <alignment horizontal="left"/>
    </xf>
    <xf numFmtId="165" fontId="0" fillId="0" borderId="0" xfId="15" applyNumberFormat="1" applyAlignment="1">
      <alignment/>
    </xf>
    <xf numFmtId="165" fontId="0" fillId="0" borderId="0" xfId="15" applyNumberFormat="1" applyFont="1" applyAlignment="1">
      <alignment/>
    </xf>
    <xf numFmtId="165" fontId="0" fillId="0" borderId="0" xfId="0" applyNumberFormat="1" applyAlignment="1">
      <alignment horizontal="center"/>
    </xf>
    <xf numFmtId="3" fontId="0" fillId="0" borderId="0" xfId="0" applyAlignment="1">
      <alignment horizontal="right"/>
    </xf>
    <xf numFmtId="43" fontId="0" fillId="0" borderId="0" xfId="15" applyNumberFormat="1" applyAlignment="1">
      <alignment/>
    </xf>
    <xf numFmtId="43" fontId="0" fillId="0" borderId="0" xfId="15" applyNumberFormat="1" applyFont="1" applyAlignment="1">
      <alignment/>
    </xf>
    <xf numFmtId="43" fontId="0" fillId="0" borderId="0" xfId="0" applyNumberFormat="1" applyAlignment="1">
      <alignment horizontal="center"/>
    </xf>
    <xf numFmtId="4" fontId="0" fillId="0" borderId="0" xfId="0" applyNumberFormat="1" applyAlignment="1">
      <alignment horizontal="center"/>
    </xf>
    <xf numFmtId="169" fontId="0" fillId="0" borderId="0" xfId="0" applyNumberFormat="1" applyAlignment="1">
      <alignment horizontal="center"/>
    </xf>
    <xf numFmtId="172" fontId="0" fillId="0" borderId="0" xfId="15" applyNumberFormat="1" applyAlignment="1">
      <alignment/>
    </xf>
    <xf numFmtId="172" fontId="0" fillId="0" borderId="0" xfId="0" applyNumberFormat="1" applyAlignment="1">
      <alignment horizontal="center"/>
    </xf>
    <xf numFmtId="3" fontId="0" fillId="0" borderId="0" xfId="0" applyAlignment="1">
      <alignment horizontal="left" wrapText="1"/>
    </xf>
    <xf numFmtId="3" fontId="0" fillId="0" borderId="0" xfId="0" applyNumberFormat="1" applyAlignment="1">
      <alignment horizontal="left"/>
    </xf>
    <xf numFmtId="3" fontId="4" fillId="0" borderId="0" xfId="0" applyFont="1" applyAlignment="1">
      <alignment horizontal="left"/>
    </xf>
    <xf numFmtId="168" fontId="0" fillId="0" borderId="0" xfId="0" applyNumberFormat="1" applyAlignment="1">
      <alignment horizontal="left"/>
    </xf>
    <xf numFmtId="168" fontId="4" fillId="0" borderId="0" xfId="0" applyNumberFormat="1" applyFont="1" applyAlignment="1">
      <alignment horizontal="left"/>
    </xf>
    <xf numFmtId="3" fontId="0" fillId="0" borderId="1" xfId="0" applyBorder="1" applyAlignment="1">
      <alignment horizontal="center"/>
    </xf>
    <xf numFmtId="3" fontId="0" fillId="0" borderId="2" xfId="0" applyBorder="1" applyAlignment="1">
      <alignment horizontal="center"/>
    </xf>
    <xf numFmtId="3" fontId="0" fillId="0" borderId="3" xfId="0" applyBorder="1" applyAlignment="1">
      <alignment horizontal="center"/>
    </xf>
    <xf numFmtId="3" fontId="0" fillId="0" borderId="4" xfId="0" applyBorder="1" applyAlignment="1">
      <alignment horizontal="left"/>
    </xf>
    <xf numFmtId="3" fontId="0" fillId="0" borderId="0" xfId="0" applyBorder="1" applyAlignment="1">
      <alignment horizontal="center"/>
    </xf>
    <xf numFmtId="3" fontId="6" fillId="0" borderId="4" xfId="0" applyFont="1" applyBorder="1" applyAlignment="1">
      <alignment horizontal="left"/>
    </xf>
    <xf numFmtId="168" fontId="0" fillId="0" borderId="0" xfId="0" applyNumberFormat="1" applyBorder="1" applyAlignment="1">
      <alignment horizontal="center"/>
    </xf>
    <xf numFmtId="168" fontId="0" fillId="0" borderId="2" xfId="0" applyNumberFormat="1" applyBorder="1" applyAlignment="1">
      <alignment horizontal="center"/>
    </xf>
    <xf numFmtId="3" fontId="0" fillId="0" borderId="0" xfId="0" applyBorder="1" applyAlignment="1" applyProtection="1">
      <alignment horizontal="center"/>
      <protection locked="0"/>
    </xf>
    <xf numFmtId="3" fontId="5" fillId="0" borderId="4" xfId="0" applyFont="1" applyBorder="1" applyAlignment="1">
      <alignment horizontal="left"/>
    </xf>
    <xf numFmtId="3" fontId="0" fillId="0" borderId="0" xfId="0" applyBorder="1" applyAlignment="1" applyProtection="1">
      <alignment horizontal="center"/>
      <protection/>
    </xf>
    <xf numFmtId="4" fontId="0" fillId="0" borderId="0" xfId="0" applyNumberFormat="1" applyBorder="1" applyAlignment="1" applyProtection="1">
      <alignment horizontal="center"/>
      <protection locked="0"/>
    </xf>
    <xf numFmtId="168" fontId="0" fillId="0" borderId="4" xfId="0" applyNumberFormat="1" applyBorder="1" applyAlignment="1">
      <alignment horizontal="left"/>
    </xf>
    <xf numFmtId="4" fontId="0" fillId="0" borderId="0" xfId="0" applyNumberFormat="1" applyBorder="1" applyAlignment="1">
      <alignment horizontal="center"/>
    </xf>
    <xf numFmtId="3" fontId="0" fillId="0" borderId="5" xfId="0" applyBorder="1" applyAlignment="1">
      <alignment horizontal="left"/>
    </xf>
    <xf numFmtId="3" fontId="1" fillId="0" borderId="4" xfId="0" applyFont="1" applyBorder="1" applyAlignment="1">
      <alignment horizontal="left"/>
    </xf>
    <xf numFmtId="170" fontId="0" fillId="0" borderId="0" xfId="0" applyNumberFormat="1" applyAlignment="1">
      <alignment horizontal="center"/>
    </xf>
    <xf numFmtId="3" fontId="0" fillId="0" borderId="0" xfId="0" applyBorder="1" applyAlignment="1">
      <alignment horizontal="left"/>
    </xf>
    <xf numFmtId="3" fontId="0" fillId="0" borderId="4" xfId="0" applyFont="1" applyBorder="1" applyAlignment="1">
      <alignment horizontal="left"/>
    </xf>
    <xf numFmtId="3" fontId="0" fillId="0" borderId="0" xfId="0" applyFont="1" applyAlignment="1">
      <alignment horizontal="center"/>
    </xf>
    <xf numFmtId="168" fontId="1" fillId="0" borderId="0" xfId="0" applyNumberFormat="1" applyFont="1" applyBorder="1" applyAlignment="1">
      <alignment horizontal="center"/>
    </xf>
    <xf numFmtId="168" fontId="1" fillId="0" borderId="2" xfId="0" applyNumberFormat="1" applyFont="1" applyBorder="1" applyAlignment="1">
      <alignment horizontal="center"/>
    </xf>
    <xf numFmtId="3" fontId="4" fillId="0" borderId="0" xfId="0" applyFont="1" applyBorder="1" applyAlignment="1">
      <alignment horizontal="center"/>
    </xf>
    <xf numFmtId="3" fontId="4" fillId="0" borderId="2" xfId="0" applyFont="1" applyBorder="1" applyAlignment="1">
      <alignment horizontal="center"/>
    </xf>
    <xf numFmtId="3" fontId="7" fillId="0" borderId="6" xfId="0" applyFont="1" applyBorder="1" applyAlignment="1">
      <alignment horizontal="left"/>
    </xf>
    <xf numFmtId="3" fontId="5" fillId="0" borderId="4" xfId="0" applyFont="1" applyFill="1" applyBorder="1" applyAlignment="1">
      <alignment horizontal="left"/>
    </xf>
    <xf numFmtId="3" fontId="0" fillId="0" borderId="0" xfId="0" applyFill="1" applyBorder="1" applyAlignment="1" applyProtection="1">
      <alignment horizontal="center"/>
      <protection/>
    </xf>
    <xf numFmtId="3" fontId="0" fillId="0" borderId="2" xfId="0" applyFill="1" applyBorder="1" applyAlignment="1">
      <alignment horizontal="center"/>
    </xf>
    <xf numFmtId="3" fontId="0" fillId="0" borderId="4" xfId="0" applyFill="1" applyBorder="1" applyAlignment="1">
      <alignment horizontal="left"/>
    </xf>
    <xf numFmtId="4" fontId="8" fillId="0" borderId="0" xfId="0" applyNumberFormat="1" applyFont="1" applyFill="1" applyBorder="1" applyAlignment="1" applyProtection="1">
      <alignment horizontal="center"/>
      <protection locked="0"/>
    </xf>
    <xf numFmtId="4" fontId="8" fillId="0" borderId="2" xfId="0" applyNumberFormat="1" applyFont="1" applyFill="1" applyBorder="1" applyAlignment="1">
      <alignment horizontal="center"/>
    </xf>
    <xf numFmtId="3" fontId="0" fillId="0" borderId="0" xfId="0" applyFill="1" applyBorder="1" applyAlignment="1" applyProtection="1">
      <alignment horizontal="center"/>
      <protection locked="0"/>
    </xf>
    <xf numFmtId="3" fontId="8" fillId="0" borderId="0" xfId="0" applyFont="1" applyFill="1" applyBorder="1" applyAlignment="1" applyProtection="1">
      <alignment horizontal="center"/>
      <protection locked="0"/>
    </xf>
    <xf numFmtId="3" fontId="8" fillId="0" borderId="2" xfId="0" applyFont="1" applyFill="1" applyBorder="1" applyAlignment="1">
      <alignment horizontal="center"/>
    </xf>
    <xf numFmtId="4" fontId="8" fillId="0" borderId="7" xfId="0" applyNumberFormat="1" applyFont="1" applyFill="1" applyBorder="1" applyAlignment="1" applyProtection="1">
      <alignment horizontal="center"/>
      <protection locked="0"/>
    </xf>
    <xf numFmtId="4" fontId="8" fillId="0" borderId="8" xfId="0" applyNumberFormat="1" applyFont="1" applyFill="1" applyBorder="1" applyAlignment="1" applyProtection="1">
      <alignment horizontal="center"/>
      <protection locked="0"/>
    </xf>
    <xf numFmtId="4" fontId="9" fillId="0" borderId="0" xfId="0" applyNumberFormat="1" applyFont="1" applyAlignment="1">
      <alignment horizontal="center"/>
    </xf>
    <xf numFmtId="3" fontId="0" fillId="2" borderId="0" xfId="0" applyFill="1" applyAlignment="1">
      <alignment horizontal="right"/>
    </xf>
    <xf numFmtId="169" fontId="0" fillId="2" borderId="0" xfId="0" applyNumberFormat="1" applyFill="1" applyAlignment="1">
      <alignment horizontal="center"/>
    </xf>
    <xf numFmtId="3" fontId="0" fillId="2" borderId="9" xfId="0" applyFill="1" applyBorder="1" applyAlignment="1">
      <alignment horizontal="right"/>
    </xf>
    <xf numFmtId="169" fontId="0" fillId="2" borderId="9" xfId="0" applyNumberFormat="1" applyFill="1" applyBorder="1" applyAlignment="1">
      <alignment horizontal="center"/>
    </xf>
    <xf numFmtId="3" fontId="12" fillId="0" borderId="9" xfId="0" applyFont="1" applyBorder="1" applyAlignment="1">
      <alignment horizontal="left"/>
    </xf>
    <xf numFmtId="3" fontId="0" fillId="0" borderId="9" xfId="0" applyBorder="1" applyAlignment="1">
      <alignment horizontal="center"/>
    </xf>
    <xf numFmtId="3" fontId="12" fillId="0" borderId="0" xfId="0" applyFont="1" applyAlignment="1">
      <alignment horizontal="left"/>
    </xf>
    <xf numFmtId="168" fontId="9" fillId="0" borderId="0" xfId="0" applyNumberFormat="1" applyFont="1" applyAlignment="1">
      <alignment horizontal="center"/>
    </xf>
    <xf numFmtId="3" fontId="9" fillId="0" borderId="0" xfId="0" applyNumberFormat="1" applyFont="1" applyAlignment="1">
      <alignment horizontal="center"/>
    </xf>
    <xf numFmtId="4" fontId="0" fillId="0" borderId="0" xfId="0" applyNumberFormat="1" applyAlignment="1">
      <alignment horizontal="left"/>
    </xf>
    <xf numFmtId="3" fontId="0" fillId="0" borderId="0" xfId="0" applyFont="1" applyAlignment="1">
      <alignment horizontal="left"/>
    </xf>
    <xf numFmtId="169" fontId="0" fillId="0" borderId="0" xfId="0" applyNumberFormat="1" applyAlignment="1">
      <alignment horizontal="left"/>
    </xf>
    <xf numFmtId="3" fontId="13" fillId="0" borderId="0" xfId="0" applyFont="1" applyAlignment="1">
      <alignment horizontal="center"/>
    </xf>
    <xf numFmtId="3" fontId="1"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83"/>
  <sheetViews>
    <sheetView tabSelected="1" workbookViewId="0" topLeftCell="B1">
      <selection activeCell="F1" sqref="F1"/>
    </sheetView>
  </sheetViews>
  <sheetFormatPr defaultColWidth="9.140625" defaultRowHeight="12.75"/>
  <cols>
    <col min="1" max="1" width="32.7109375" style="3" customWidth="1"/>
    <col min="2" max="2" width="13.28125" style="0" customWidth="1"/>
    <col min="3" max="3" width="13.421875" style="0" customWidth="1"/>
    <col min="4" max="5" width="13.8515625" style="0" customWidth="1"/>
    <col min="6" max="6" width="27.00390625" style="0" customWidth="1"/>
    <col min="7" max="7" width="12.8515625" style="3" customWidth="1"/>
  </cols>
  <sheetData>
    <row r="1" spans="1:6" ht="18">
      <c r="A1" s="45" t="s">
        <v>66</v>
      </c>
      <c r="B1" s="23"/>
      <c r="C1" s="23"/>
      <c r="D1" s="23"/>
      <c r="E1" s="21"/>
      <c r="F1" s="70" t="s">
        <v>119</v>
      </c>
    </row>
    <row r="2" spans="1:5" ht="12.75">
      <c r="A2" s="24"/>
      <c r="B2" s="25"/>
      <c r="C2" s="25"/>
      <c r="D2" s="25"/>
      <c r="E2" s="22"/>
    </row>
    <row r="3" spans="1:5" ht="12.75">
      <c r="A3" s="24"/>
      <c r="B3" s="43" t="s">
        <v>20</v>
      </c>
      <c r="C3" s="43" t="s">
        <v>21</v>
      </c>
      <c r="D3" s="43" t="s">
        <v>22</v>
      </c>
      <c r="E3" s="44" t="s">
        <v>23</v>
      </c>
    </row>
    <row r="4" spans="1:5" ht="15.75">
      <c r="A4" s="26" t="s">
        <v>27</v>
      </c>
      <c r="B4" s="25"/>
      <c r="C4" s="25"/>
      <c r="D4" s="25"/>
      <c r="E4" s="22"/>
    </row>
    <row r="5" spans="1:5" ht="12.75">
      <c r="A5" s="36" t="s">
        <v>79</v>
      </c>
      <c r="B5" s="25"/>
      <c r="C5" s="25"/>
      <c r="D5" s="25"/>
      <c r="E5" s="22"/>
    </row>
    <row r="6" spans="1:5" ht="12.75">
      <c r="A6" s="36"/>
      <c r="B6" s="25"/>
      <c r="C6" s="25"/>
      <c r="D6" s="25"/>
      <c r="E6" s="22"/>
    </row>
    <row r="7" spans="1:5" ht="12.75">
      <c r="A7" s="36" t="s">
        <v>68</v>
      </c>
      <c r="B7" s="41">
        <f>B9*$B64+B16*(1-$B64)</f>
        <v>17.076547775186448</v>
      </c>
      <c r="C7" s="41">
        <f>C9*$B64+C16*(1-$B64)</f>
        <v>18.120237125486312</v>
      </c>
      <c r="D7" s="41">
        <f>D9*$B64+D16*(1-$B64)</f>
        <v>20.98095995560736</v>
      </c>
      <c r="E7" s="42">
        <f>E9*$B64+E16*(1-$B64)</f>
        <v>19.807170795767078</v>
      </c>
    </row>
    <row r="8" spans="2:5" ht="12.75">
      <c r="B8" s="27"/>
      <c r="C8" s="27"/>
      <c r="D8" s="27"/>
      <c r="E8" s="28"/>
    </row>
    <row r="9" spans="1:5" ht="12.75">
      <c r="A9" s="24" t="s">
        <v>69</v>
      </c>
      <c r="B9" s="27">
        <f>SUM(B10:B14)</f>
        <v>15.308731715657995</v>
      </c>
      <c r="C9" s="27">
        <f>SUM(C10:C14)</f>
        <v>16.493088756846777</v>
      </c>
      <c r="D9" s="27">
        <f>SUM(D10:D14)</f>
        <v>19.10729340920053</v>
      </c>
      <c r="E9" s="28">
        <f>SUM(E10:E14)</f>
        <v>17.886526603434294</v>
      </c>
    </row>
    <row r="10" spans="1:5" ht="12.75">
      <c r="A10" s="24" t="s">
        <v>43</v>
      </c>
      <c r="B10" s="27">
        <f>B44*HW_gpm_car*B56</f>
        <v>4.9975521645528</v>
      </c>
      <c r="C10" s="27">
        <f>C44*HW_gpm_car*C56</f>
        <v>4.978800520187879</v>
      </c>
      <c r="D10" s="27">
        <f>D44*HW_gpm_car*D56</f>
        <v>6.951569083898111</v>
      </c>
      <c r="E10" s="28">
        <f>E44*HW_gpm_car*E56</f>
        <v>4.9975521645528</v>
      </c>
    </row>
    <row r="11" spans="1:5" ht="12.75">
      <c r="A11" s="24" t="s">
        <v>44</v>
      </c>
      <c r="B11" s="27">
        <f>B47*B60*B58*Maint_car</f>
        <v>2.0960352649409764</v>
      </c>
      <c r="C11" s="27">
        <f>C47*C60*C58*Maint_car</f>
        <v>2.358442988028642</v>
      </c>
      <c r="D11" s="27">
        <f>D47*D60*D58*Maint_car</f>
        <v>2.5058047117002777</v>
      </c>
      <c r="E11" s="28">
        <f>E47*E60*E58*Maint_car</f>
        <v>2.6200440811762205</v>
      </c>
    </row>
    <row r="12" spans="1:5" ht="12.75">
      <c r="A12" s="24" t="s">
        <v>45</v>
      </c>
      <c r="B12" s="27">
        <f>B48*B60*Tires_car</f>
        <v>0.8760424879190596</v>
      </c>
      <c r="C12" s="27">
        <f>C48*C60*Tires_car</f>
        <v>0.897943550117036</v>
      </c>
      <c r="D12" s="27">
        <f>D48*D60*Tires_car</f>
        <v>0.8760424879190596</v>
      </c>
      <c r="E12" s="28">
        <f>E48*E60*Tires_car</f>
        <v>1.0950531098988245</v>
      </c>
    </row>
    <row r="13" spans="1:5" ht="12.75">
      <c r="A13" s="24" t="s">
        <v>46</v>
      </c>
      <c r="B13" s="27">
        <f>B47*B60*B58*Repair_car</f>
        <v>1.1153745588739705</v>
      </c>
      <c r="C13" s="27">
        <f>C47*C60*C58*Repair_car</f>
        <v>1.255010996905117</v>
      </c>
      <c r="D13" s="27">
        <f>D47*D60*D58*Repair_car</f>
        <v>1.333427386306746</v>
      </c>
      <c r="E13" s="28">
        <f>E47*E60*E58*Repair_car</f>
        <v>1.394218198592463</v>
      </c>
    </row>
    <row r="14" spans="1:5" ht="12.75">
      <c r="A14" s="24" t="s">
        <v>47</v>
      </c>
      <c r="B14" s="27">
        <f>B49*B60*B58*depr_car</f>
        <v>6.223727239371189</v>
      </c>
      <c r="C14" s="27">
        <f>C49*C60*C58*depr_car</f>
        <v>7.002890701608103</v>
      </c>
      <c r="D14" s="27">
        <f>D49*D60*D58*depr_car</f>
        <v>7.440449739376332</v>
      </c>
      <c r="E14" s="28">
        <f>E49*E60*E58*depr_car</f>
        <v>7.779659049213986</v>
      </c>
    </row>
    <row r="15" spans="1:5" ht="12.75">
      <c r="A15" s="24"/>
      <c r="B15" s="27"/>
      <c r="C15" s="27"/>
      <c r="D15" s="27"/>
      <c r="E15" s="28"/>
    </row>
    <row r="16" spans="1:5" ht="12.75">
      <c r="A16" s="24" t="s">
        <v>71</v>
      </c>
      <c r="B16" s="27">
        <f>SUM(B17:B21)</f>
        <v>19.517817571678115</v>
      </c>
      <c r="C16" s="27">
        <f>SUM(C17:C21)</f>
        <v>20.36725153932186</v>
      </c>
      <c r="D16" s="27">
        <f>SUM(D17:D21)</f>
        <v>23.5684042339787</v>
      </c>
      <c r="E16" s="28">
        <f>SUM(E17:E21)</f>
        <v>22.459488966131403</v>
      </c>
    </row>
    <row r="17" spans="1:5" ht="12.75">
      <c r="A17" s="24" t="s">
        <v>43</v>
      </c>
      <c r="B17" s="27">
        <f>B44*HW_gpm_truck*B57</f>
        <v>7.751131993864948</v>
      </c>
      <c r="C17" s="27">
        <f>C44*HW_gpm_truck*C57</f>
        <v>7.454074504683729</v>
      </c>
      <c r="D17" s="27">
        <f>D44*HW_gpm_truck*D57</f>
        <v>10.138646817376003</v>
      </c>
      <c r="E17" s="28">
        <f>E44*HW_gpm_truck*E57</f>
        <v>7.751131993864948</v>
      </c>
    </row>
    <row r="18" spans="1:5" ht="12.75">
      <c r="A18" s="24" t="s">
        <v>44</v>
      </c>
      <c r="B18" s="27">
        <f>B47*B60*B59*Maint_truck</f>
        <v>2.4165370039859866</v>
      </c>
      <c r="C18" s="27">
        <f>C47*C60*C59*Maint_truck</f>
        <v>2.667688887391623</v>
      </c>
      <c r="D18" s="27">
        <f>D47*D60*D59*Maint_truck</f>
        <v>2.788709605558643</v>
      </c>
      <c r="E18" s="28">
        <f>E47*E60*E59*Maint_truck</f>
        <v>3.0206712549824832</v>
      </c>
    </row>
    <row r="19" spans="1:5" ht="12.75">
      <c r="A19" s="24" t="s">
        <v>45</v>
      </c>
      <c r="B19" s="27">
        <f>B48*B60*Tires_truck</f>
        <v>0.968269408165739</v>
      </c>
      <c r="C19" s="27">
        <f>C48*C60*Tires_truck</f>
        <v>0.9924761433698824</v>
      </c>
      <c r="D19" s="27">
        <f>D48*D60*Tires_truck</f>
        <v>0.968269408165739</v>
      </c>
      <c r="E19" s="28">
        <f>E48*E60*Tires_truck</f>
        <v>1.2103367602071737</v>
      </c>
    </row>
    <row r="20" spans="1:5" ht="12.75">
      <c r="A20" s="24" t="s">
        <v>46</v>
      </c>
      <c r="B20" s="27">
        <f>B47*B60*B59*Repair_truck</f>
        <v>1.3343521081503602</v>
      </c>
      <c r="C20" s="27">
        <f>C47*C60*C59*Repair_truck</f>
        <v>1.4730319812644355</v>
      </c>
      <c r="D20" s="27">
        <f>D47*D60*D59*Repair_truck</f>
        <v>1.5398566357802455</v>
      </c>
      <c r="E20" s="28">
        <f>E47*E60*E59*Repair_truck</f>
        <v>1.6679401351879504</v>
      </c>
    </row>
    <row r="21" spans="1:5" ht="12.75">
      <c r="A21" s="24" t="s">
        <v>47</v>
      </c>
      <c r="B21" s="27">
        <f>B49*B60*B59*depr_truck</f>
        <v>7.047527057511079</v>
      </c>
      <c r="C21" s="27">
        <f>C49*C60*C59*depr_truck</f>
        <v>7.77998002261219</v>
      </c>
      <c r="D21" s="27">
        <f>D49*D60*D59*depr_truck</f>
        <v>8.13292176709807</v>
      </c>
      <c r="E21" s="28">
        <f>E49*E60*E59*depr_truck</f>
        <v>8.809408821888848</v>
      </c>
    </row>
    <row r="22" spans="1:5" ht="12.75">
      <c r="A22" s="24"/>
      <c r="B22" s="27"/>
      <c r="C22" s="27"/>
      <c r="D22" s="27"/>
      <c r="E22" s="22"/>
    </row>
    <row r="23" spans="1:5" ht="12.75">
      <c r="A23" s="36" t="s">
        <v>70</v>
      </c>
      <c r="B23" s="41">
        <f>SUM(B24:B27)</f>
        <v>43.42857142857143</v>
      </c>
      <c r="C23" s="41">
        <f>SUM(C24:C27)</f>
        <v>44.61754839849213</v>
      </c>
      <c r="D23" s="41">
        <f>SUM(D24:D27)</f>
        <v>52.87822911829097</v>
      </c>
      <c r="E23" s="42">
        <f>SUM(E24:E27)</f>
        <v>48.92857142857143</v>
      </c>
    </row>
    <row r="24" spans="1:5" ht="12.75">
      <c r="A24" s="24" t="s">
        <v>43</v>
      </c>
      <c r="B24" s="27">
        <f>B45*(1/$B72)*B57</f>
        <v>21.428571428571427</v>
      </c>
      <c r="C24" s="27">
        <f>C45*(1/$B72)*C57</f>
        <v>20.60733426858626</v>
      </c>
      <c r="D24" s="27">
        <f>D45*(1/$B72)*D57</f>
        <v>28.029030816035597</v>
      </c>
      <c r="E24" s="28">
        <f>E45*(1/$B72)*E57</f>
        <v>21.428571428571427</v>
      </c>
    </row>
    <row r="25" spans="1:5" ht="12.75">
      <c r="A25" s="24" t="s">
        <v>60</v>
      </c>
      <c r="B25" s="27">
        <f>B47*B60*B59*$B70</f>
        <v>10.5</v>
      </c>
      <c r="C25" s="27">
        <f>C47*C60*C59*$B70</f>
        <v>11.591270181838471</v>
      </c>
      <c r="D25" s="27">
        <f>D47*D60*D59*$B70</f>
        <v>12.117112549928722</v>
      </c>
      <c r="E25" s="28">
        <f>E47*E60*E59*$B70</f>
        <v>13.125</v>
      </c>
    </row>
    <row r="26" spans="1:5" ht="12.75">
      <c r="A26" s="24" t="s">
        <v>45</v>
      </c>
      <c r="B26" s="27">
        <f>B48*B60*$B71</f>
        <v>3.5</v>
      </c>
      <c r="C26" s="27">
        <f>C48*C60*$B71</f>
        <v>3.5874999999999995</v>
      </c>
      <c r="D26" s="27">
        <f>D48*D60*$B71</f>
        <v>3.5</v>
      </c>
      <c r="E26" s="28">
        <f>E48*E60*$B71</f>
        <v>4.375</v>
      </c>
    </row>
    <row r="27" spans="1:5" ht="12.75">
      <c r="A27" s="24" t="s">
        <v>47</v>
      </c>
      <c r="B27" s="27">
        <f>B49*B60*B59*$B73</f>
        <v>8</v>
      </c>
      <c r="C27" s="27">
        <f>C49*C60*C59*$B73</f>
        <v>8.831443948067406</v>
      </c>
      <c r="D27" s="27">
        <f>D49*D60*D59*$B73</f>
        <v>9.232085752326645</v>
      </c>
      <c r="E27" s="28">
        <f>E49*E60*E59*$B73</f>
        <v>10</v>
      </c>
    </row>
    <row r="28" spans="1:5" ht="12.75">
      <c r="A28" s="24"/>
      <c r="B28" s="25"/>
      <c r="C28" s="25"/>
      <c r="D28" s="25"/>
      <c r="E28" s="22"/>
    </row>
    <row r="29" spans="1:5" ht="15.75">
      <c r="A29" s="26" t="s">
        <v>24</v>
      </c>
      <c r="B29" s="25"/>
      <c r="C29" s="25"/>
      <c r="D29" s="25"/>
      <c r="E29" s="22"/>
    </row>
    <row r="30" spans="1:5" ht="12.75">
      <c r="A30" s="24"/>
      <c r="B30" s="29"/>
      <c r="C30" s="29"/>
      <c r="D30" s="29"/>
      <c r="E30" s="22"/>
    </row>
    <row r="31" spans="1:5" ht="12.75">
      <c r="A31" s="46" t="s">
        <v>25</v>
      </c>
      <c r="B31" s="47">
        <f>IF(SUM(B32:B34)=1,"","ERROR")</f>
      </c>
      <c r="C31" s="47">
        <f>IF(SUM(C32:C34)=1,"","ERROR")</f>
      </c>
      <c r="D31" s="47">
        <f>IF(SUM(D32:D34)=1,"","ERROR")</f>
      </c>
      <c r="E31" s="48">
        <f>IF(SUM(E32:E34)=1,"","ERROR")</f>
      </c>
    </row>
    <row r="32" spans="1:7" ht="12.75">
      <c r="A32" s="49" t="s">
        <v>33</v>
      </c>
      <c r="B32" s="50">
        <v>1</v>
      </c>
      <c r="C32" s="50">
        <v>0.5</v>
      </c>
      <c r="D32" s="50">
        <v>0</v>
      </c>
      <c r="E32" s="51">
        <v>1</v>
      </c>
      <c r="G32" s="67"/>
    </row>
    <row r="33" spans="1:7" ht="12.75">
      <c r="A33" s="49" t="s">
        <v>34</v>
      </c>
      <c r="B33" s="50">
        <v>0</v>
      </c>
      <c r="C33" s="50">
        <v>0.5</v>
      </c>
      <c r="D33" s="50">
        <v>1</v>
      </c>
      <c r="E33" s="51">
        <v>0</v>
      </c>
      <c r="G33" s="67"/>
    </row>
    <row r="34" spans="1:7" ht="12.75">
      <c r="A34" s="49" t="s">
        <v>35</v>
      </c>
      <c r="B34" s="50">
        <v>0</v>
      </c>
      <c r="C34" s="50">
        <v>0</v>
      </c>
      <c r="D34" s="50">
        <v>0</v>
      </c>
      <c r="E34" s="51">
        <v>0</v>
      </c>
      <c r="G34" s="67"/>
    </row>
    <row r="35" spans="1:5" ht="12.75">
      <c r="A35" s="24"/>
      <c r="B35" s="32"/>
      <c r="C35" s="32"/>
      <c r="D35" s="32"/>
      <c r="E35" s="22"/>
    </row>
    <row r="36" spans="1:5" ht="12.75">
      <c r="A36" s="30" t="s">
        <v>67</v>
      </c>
      <c r="B36" s="31">
        <f>IF(SUM(B37:B40)=1,"","ERROR")</f>
      </c>
      <c r="C36" s="31">
        <f>IF(SUM(C37:C40)=1,"","ERROR")</f>
      </c>
      <c r="D36" s="31">
        <f>IF(SUM(D37:D40)=1,"","ERROR")</f>
      </c>
      <c r="E36" s="22">
        <f>IF(SUM(E37:E40)=1,"","ERROR")</f>
      </c>
    </row>
    <row r="37" spans="1:7" s="40" customFormat="1" ht="12.75">
      <c r="A37" s="39" t="s">
        <v>53</v>
      </c>
      <c r="B37" s="50">
        <v>0</v>
      </c>
      <c r="C37" s="50">
        <v>0</v>
      </c>
      <c r="D37" s="50">
        <v>0</v>
      </c>
      <c r="E37" s="51">
        <v>1</v>
      </c>
      <c r="G37" s="68"/>
    </row>
    <row r="38" spans="1:7" ht="12.75">
      <c r="A38" s="33">
        <v>2.5</v>
      </c>
      <c r="B38" s="50">
        <v>0</v>
      </c>
      <c r="C38" s="50">
        <v>0</v>
      </c>
      <c r="D38" s="50">
        <v>0</v>
      </c>
      <c r="E38" s="51">
        <v>0</v>
      </c>
      <c r="G38" s="67"/>
    </row>
    <row r="39" spans="1:7" ht="12.75">
      <c r="A39" s="33">
        <v>3</v>
      </c>
      <c r="B39" s="50">
        <v>0</v>
      </c>
      <c r="C39" s="50">
        <v>0.5</v>
      </c>
      <c r="D39" s="50">
        <v>0</v>
      </c>
      <c r="E39" s="51">
        <v>0</v>
      </c>
      <c r="G39" s="67"/>
    </row>
    <row r="40" spans="1:7" ht="12.75">
      <c r="A40" s="33" t="s">
        <v>49</v>
      </c>
      <c r="B40" s="50">
        <v>1</v>
      </c>
      <c r="C40" s="50">
        <v>0.5</v>
      </c>
      <c r="D40" s="50">
        <v>1</v>
      </c>
      <c r="E40" s="51">
        <v>0</v>
      </c>
      <c r="G40" s="67"/>
    </row>
    <row r="41" spans="1:5" ht="12.75">
      <c r="A41" s="33"/>
      <c r="B41" s="34"/>
      <c r="C41" s="34"/>
      <c r="D41" s="34"/>
      <c r="E41" s="22"/>
    </row>
    <row r="42" spans="1:5" ht="15.75">
      <c r="A42" s="26" t="s">
        <v>26</v>
      </c>
      <c r="B42" s="34"/>
      <c r="C42" s="34"/>
      <c r="D42" s="34"/>
      <c r="E42" s="22"/>
    </row>
    <row r="43" spans="1:5" ht="12.75">
      <c r="A43" s="33"/>
      <c r="B43" s="34"/>
      <c r="C43" s="34"/>
      <c r="D43" s="34"/>
      <c r="E43" s="22"/>
    </row>
    <row r="44" spans="1:7" ht="12.75">
      <c r="A44" s="24" t="s">
        <v>28</v>
      </c>
      <c r="B44" s="53">
        <v>150</v>
      </c>
      <c r="C44" s="53">
        <v>125</v>
      </c>
      <c r="D44" s="53">
        <v>150</v>
      </c>
      <c r="E44" s="54">
        <v>150</v>
      </c>
      <c r="G44" s="3" t="s">
        <v>56</v>
      </c>
    </row>
    <row r="45" spans="1:7" ht="12.75">
      <c r="A45" s="24" t="s">
        <v>51</v>
      </c>
      <c r="B45" s="53">
        <v>150</v>
      </c>
      <c r="C45" s="53">
        <v>125</v>
      </c>
      <c r="D45" s="53">
        <v>150</v>
      </c>
      <c r="E45" s="54">
        <v>150</v>
      </c>
      <c r="G45" s="3" t="s">
        <v>56</v>
      </c>
    </row>
    <row r="46" spans="1:5" ht="12.75">
      <c r="A46" s="24"/>
      <c r="B46" s="52"/>
      <c r="C46" s="52"/>
      <c r="D46" s="52"/>
      <c r="E46" s="48"/>
    </row>
    <row r="47" spans="1:7" ht="12.75">
      <c r="A47" s="24" t="s">
        <v>54</v>
      </c>
      <c r="B47" s="50">
        <v>1</v>
      </c>
      <c r="C47" s="50">
        <v>1</v>
      </c>
      <c r="D47" s="50">
        <v>1</v>
      </c>
      <c r="E47" s="51">
        <v>1</v>
      </c>
      <c r="G47" s="69" t="s">
        <v>55</v>
      </c>
    </row>
    <row r="48" spans="1:7" ht="12.75">
      <c r="A48" s="24" t="s">
        <v>58</v>
      </c>
      <c r="B48" s="50">
        <v>1</v>
      </c>
      <c r="C48" s="50">
        <v>1</v>
      </c>
      <c r="D48" s="50">
        <v>1</v>
      </c>
      <c r="E48" s="51">
        <v>1</v>
      </c>
      <c r="G48" s="3" t="s">
        <v>59</v>
      </c>
    </row>
    <row r="49" spans="1:7" ht="13.5" thickBot="1">
      <c r="A49" s="35" t="s">
        <v>57</v>
      </c>
      <c r="B49" s="55">
        <v>1</v>
      </c>
      <c r="C49" s="55">
        <v>1</v>
      </c>
      <c r="D49" s="55">
        <v>1</v>
      </c>
      <c r="E49" s="56">
        <v>1</v>
      </c>
      <c r="G49" s="3" t="s">
        <v>59</v>
      </c>
    </row>
    <row r="50" ht="12.75"/>
    <row r="51" ht="12.75">
      <c r="B51" s="12"/>
    </row>
    <row r="52" ht="12.75"/>
    <row r="53" ht="12.75"/>
    <row r="54" spans="1:4" ht="12.75">
      <c r="A54" s="20" t="s">
        <v>36</v>
      </c>
      <c r="B54" s="12"/>
      <c r="C54" s="12"/>
      <c r="D54" s="12"/>
    </row>
    <row r="55" spans="1:4" ht="12.75">
      <c r="A55" s="20"/>
      <c r="B55" s="12"/>
      <c r="C55" s="12"/>
      <c r="D55" s="12"/>
    </row>
    <row r="56" spans="1:5" ht="12.75">
      <c r="A56" s="19" t="s">
        <v>61</v>
      </c>
      <c r="B56" s="57">
        <f>1+(B33+2*B34)*exccar</f>
        <v>1</v>
      </c>
      <c r="C56" s="57">
        <f>1+(C33+2*C34)*exccar</f>
        <v>1.1954974010281456</v>
      </c>
      <c r="D56" s="57">
        <f>1+(D33+2*D34)*exccar</f>
        <v>1.3909948020562912</v>
      </c>
      <c r="E56" s="57">
        <f>1+(E33+2*E34)*exccar</f>
        <v>1</v>
      </c>
    </row>
    <row r="57" spans="1:5" ht="12.75">
      <c r="A57" s="19" t="s">
        <v>63</v>
      </c>
      <c r="B57" s="57">
        <f>1+(B33+B34)*exctruck</f>
        <v>1</v>
      </c>
      <c r="C57" s="57">
        <f>1+(C33+C34)*exctruck</f>
        <v>1.1540107190408306</v>
      </c>
      <c r="D57" s="57">
        <f>1+(D33+D34)*exctruck</f>
        <v>1.3080214380816613</v>
      </c>
      <c r="E57" s="57">
        <f>1+(E33+E34)*exctruck</f>
        <v>1</v>
      </c>
    </row>
    <row r="58" spans="1:5" ht="12.75">
      <c r="A58" s="19" t="s">
        <v>62</v>
      </c>
      <c r="B58" s="57">
        <f>1+(B33+B34)*exccar/2</f>
        <v>1</v>
      </c>
      <c r="C58" s="57">
        <f>1+(C33+C34)*exccar/2</f>
        <v>1.0977487005140727</v>
      </c>
      <c r="D58" s="57">
        <f>1+(D33+D34)*exccar/2</f>
        <v>1.1954974010281456</v>
      </c>
      <c r="E58" s="57">
        <f>1+(E33+E34)*exccar/2</f>
        <v>1</v>
      </c>
    </row>
    <row r="59" spans="1:5" ht="12.75">
      <c r="A59" s="19" t="s">
        <v>64</v>
      </c>
      <c r="B59" s="57">
        <f>1+(B33+B34)*exctruck/2</f>
        <v>1</v>
      </c>
      <c r="C59" s="57">
        <f>1+(C33+C34)*exctruck/2</f>
        <v>1.0770053595204154</v>
      </c>
      <c r="D59" s="57">
        <f>1+(D33+D34)*exctruck/2</f>
        <v>1.1540107190408306</v>
      </c>
      <c r="E59" s="57">
        <f>1+(E33+E34)*exctruck/2</f>
        <v>1</v>
      </c>
    </row>
    <row r="60" spans="1:5" ht="12.75">
      <c r="A60" s="3" t="s">
        <v>50</v>
      </c>
      <c r="B60" s="57">
        <f>1+B39*0.05+B38*0.15+B37*0.25</f>
        <v>1</v>
      </c>
      <c r="C60" s="57">
        <f>1+C39*0.05+C38*0.15+C37*0.25</f>
        <v>1.025</v>
      </c>
      <c r="D60" s="57">
        <f>1+D39*0.05+D38*0.15+D37*0.25</f>
        <v>1</v>
      </c>
      <c r="E60" s="57">
        <f>1+E39*0.05+E38*0.15+E37*0.25</f>
        <v>1.25</v>
      </c>
    </row>
    <row r="61" ht="12.75"/>
    <row r="62" ht="12.75"/>
    <row r="63" ht="12.75">
      <c r="A63" s="18" t="s">
        <v>65</v>
      </c>
    </row>
    <row r="64" spans="1:7" ht="12.75">
      <c r="A64" s="24" t="s">
        <v>31</v>
      </c>
      <c r="B64" s="50">
        <v>0.58</v>
      </c>
      <c r="C64" s="32"/>
      <c r="D64" s="32"/>
      <c r="G64" s="67"/>
    </row>
    <row r="65" spans="1:2" ht="12.75">
      <c r="A65" s="24" t="s">
        <v>48</v>
      </c>
      <c r="B65" s="57">
        <v>0.33</v>
      </c>
    </row>
    <row r="66" spans="1:5" ht="12.75">
      <c r="A66" s="3" t="s">
        <v>52</v>
      </c>
      <c r="B66" s="57">
        <v>0.5</v>
      </c>
      <c r="C66" s="12"/>
      <c r="D66" s="12"/>
      <c r="E66" s="12"/>
    </row>
    <row r="67" spans="2:5" ht="12.75">
      <c r="B67" s="12"/>
      <c r="C67" s="12"/>
      <c r="D67" s="12"/>
      <c r="E67" s="12"/>
    </row>
    <row r="68" spans="1:2" ht="12.75">
      <c r="A68" s="38"/>
      <c r="B68" s="32"/>
    </row>
    <row r="69" ht="12.75">
      <c r="A69" s="18" t="s">
        <v>38</v>
      </c>
    </row>
    <row r="70" spans="1:2" ht="12.75">
      <c r="A70" s="3" t="s">
        <v>39</v>
      </c>
      <c r="B70" s="65">
        <v>10.5</v>
      </c>
    </row>
    <row r="71" spans="1:2" ht="12.75">
      <c r="A71" s="3" t="s">
        <v>40</v>
      </c>
      <c r="B71" s="65">
        <v>3.5</v>
      </c>
    </row>
    <row r="72" spans="1:2" ht="12.75">
      <c r="A72" s="3" t="s">
        <v>41</v>
      </c>
      <c r="B72" s="65">
        <v>7</v>
      </c>
    </row>
    <row r="73" spans="1:2" ht="12.75">
      <c r="A73" s="3" t="s">
        <v>32</v>
      </c>
      <c r="B73" s="65">
        <f>100*(0.7*B81+0.3*C81)/5000</f>
        <v>8</v>
      </c>
    </row>
    <row r="74" ht="12.75"/>
    <row r="76" ht="12.75">
      <c r="A76" s="18" t="s">
        <v>14</v>
      </c>
    </row>
    <row r="77" spans="1:3" ht="12.75">
      <c r="A77" s="16" t="s">
        <v>15</v>
      </c>
      <c r="B77" s="3" t="s">
        <v>16</v>
      </c>
      <c r="C77" s="3" t="s">
        <v>17</v>
      </c>
    </row>
    <row r="78" spans="1:3" ht="12.75">
      <c r="A78" s="3">
        <v>1</v>
      </c>
      <c r="B78" s="66">
        <v>150</v>
      </c>
      <c r="C78" s="66">
        <v>275</v>
      </c>
    </row>
    <row r="79" spans="1:3" ht="12.75">
      <c r="A79" s="3">
        <v>2</v>
      </c>
      <c r="B79" s="66">
        <v>200</v>
      </c>
      <c r="C79" s="66">
        <v>350</v>
      </c>
    </row>
    <row r="80" spans="1:3" ht="12.75">
      <c r="A80" s="17">
        <v>3</v>
      </c>
      <c r="B80" s="66">
        <v>275</v>
      </c>
      <c r="C80" s="66">
        <v>475</v>
      </c>
    </row>
    <row r="81" spans="1:3" ht="12.75">
      <c r="A81" s="17">
        <v>4</v>
      </c>
      <c r="B81" s="66">
        <v>325</v>
      </c>
      <c r="C81" s="66">
        <v>575</v>
      </c>
    </row>
    <row r="83" spans="1:4" ht="12.75">
      <c r="A83" s="19"/>
      <c r="B83" s="12"/>
      <c r="C83" s="12"/>
      <c r="D83" s="12"/>
    </row>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51"/>
  <sheetViews>
    <sheetView workbookViewId="0" topLeftCell="A1">
      <selection activeCell="D87" sqref="D87"/>
    </sheetView>
  </sheetViews>
  <sheetFormatPr defaultColWidth="9.140625" defaultRowHeight="12.75"/>
  <cols>
    <col min="1" max="1" width="11.8515625" style="0" customWidth="1"/>
    <col min="2" max="2" width="22.00390625" style="0" customWidth="1"/>
    <col min="3" max="3" width="11.57421875" style="0" customWidth="1"/>
    <col min="4" max="4" width="7.57421875" style="0" customWidth="1"/>
    <col min="5" max="5" width="10.57421875" style="0" customWidth="1"/>
    <col min="6" max="6" width="9.8515625" style="0" customWidth="1"/>
    <col min="7" max="7" width="10.00390625" style="0" customWidth="1"/>
    <col min="8" max="8" width="11.28125" style="0" customWidth="1"/>
    <col min="9" max="9" width="8.8515625" style="0" customWidth="1"/>
    <col min="10" max="10" width="8.57421875" style="0" customWidth="1"/>
    <col min="13" max="13" width="11.57421875" style="0" customWidth="1"/>
    <col min="15" max="15" width="8.57421875" style="0" customWidth="1"/>
    <col min="16" max="16" width="7.57421875" style="0" customWidth="1"/>
    <col min="17" max="17" width="10.28125" style="0" customWidth="1"/>
    <col min="18" max="18" width="10.00390625" style="0" customWidth="1"/>
    <col min="23" max="23" width="17.140625" style="0" customWidth="1"/>
  </cols>
  <sheetData>
    <row r="1" spans="13:29" ht="12.75">
      <c r="M1" s="13"/>
      <c r="N1" s="13"/>
      <c r="O1" s="12"/>
      <c r="P1" s="12"/>
      <c r="S1" s="13"/>
      <c r="T1" s="13"/>
      <c r="U1" s="59"/>
      <c r="V1" s="59"/>
      <c r="W1" s="58" t="s">
        <v>90</v>
      </c>
      <c r="X1" s="59">
        <f aca="true" t="shared" si="0" ref="X1:AC1">SUM(X6:X74)</f>
        <v>0.033317014430351996</v>
      </c>
      <c r="Y1" s="59">
        <f t="shared" si="0"/>
        <v>0.3909948020562912</v>
      </c>
      <c r="Z1" s="59">
        <f t="shared" si="0"/>
        <v>2.0960352649409764</v>
      </c>
      <c r="AA1" s="59">
        <f t="shared" si="0"/>
        <v>0.8760424879190596</v>
      </c>
      <c r="AB1" s="59">
        <f t="shared" si="0"/>
        <v>1.1153745588739705</v>
      </c>
      <c r="AC1" s="59">
        <f t="shared" si="0"/>
        <v>6.223727239371189</v>
      </c>
    </row>
    <row r="2" spans="13:29" ht="12.75">
      <c r="M2" s="13"/>
      <c r="N2" s="13"/>
      <c r="O2" s="12"/>
      <c r="P2" s="12"/>
      <c r="S2" s="13"/>
      <c r="T2" s="13"/>
      <c r="U2" s="61"/>
      <c r="V2" s="61"/>
      <c r="W2" s="60" t="s">
        <v>91</v>
      </c>
      <c r="X2" s="61">
        <f aca="true" t="shared" si="1" ref="X2:AC2">SUM(X78:X136)</f>
        <v>0.051674213292432984</v>
      </c>
      <c r="Y2" s="61">
        <f t="shared" si="1"/>
        <v>0.3080214380816614</v>
      </c>
      <c r="Z2" s="61">
        <f t="shared" si="1"/>
        <v>2.4165370039859866</v>
      </c>
      <c r="AA2" s="61">
        <f t="shared" si="1"/>
        <v>0.968269408165739</v>
      </c>
      <c r="AB2" s="61">
        <f t="shared" si="1"/>
        <v>1.3343521081503602</v>
      </c>
      <c r="AC2" s="61">
        <f t="shared" si="1"/>
        <v>7.047527057511079</v>
      </c>
    </row>
    <row r="3" spans="3:29" ht="63.75">
      <c r="C3" s="1" t="s">
        <v>1</v>
      </c>
      <c r="D3" s="1" t="s">
        <v>0</v>
      </c>
      <c r="E3" s="1" t="s">
        <v>2</v>
      </c>
      <c r="F3" s="1" t="s">
        <v>37</v>
      </c>
      <c r="G3" s="1" t="s">
        <v>4</v>
      </c>
      <c r="H3" s="1" t="s">
        <v>3</v>
      </c>
      <c r="I3" s="1" t="s">
        <v>5</v>
      </c>
      <c r="J3" s="1" t="s">
        <v>18</v>
      </c>
      <c r="K3" s="1" t="s">
        <v>19</v>
      </c>
      <c r="M3" s="1" t="s">
        <v>80</v>
      </c>
      <c r="N3" s="1" t="s">
        <v>81</v>
      </c>
      <c r="O3" s="1" t="s">
        <v>82</v>
      </c>
      <c r="P3" s="1" t="s">
        <v>83</v>
      </c>
      <c r="Q3" s="1" t="s">
        <v>84</v>
      </c>
      <c r="R3" s="1" t="s">
        <v>85</v>
      </c>
      <c r="S3" s="1" t="s">
        <v>86</v>
      </c>
      <c r="T3" s="1" t="s">
        <v>87</v>
      </c>
      <c r="U3" s="1" t="s">
        <v>88</v>
      </c>
      <c r="V3" s="1" t="s">
        <v>89</v>
      </c>
      <c r="X3" s="1" t="s">
        <v>92</v>
      </c>
      <c r="Y3" s="1" t="s">
        <v>93</v>
      </c>
      <c r="Z3" s="1" t="s">
        <v>94</v>
      </c>
      <c r="AA3" s="1" t="s">
        <v>95</v>
      </c>
      <c r="AB3" s="1" t="s">
        <v>96</v>
      </c>
      <c r="AC3" s="1" t="s">
        <v>97</v>
      </c>
    </row>
    <row r="4" spans="1:16" ht="12.75">
      <c r="A4" s="71" t="s">
        <v>7</v>
      </c>
      <c r="B4" s="71"/>
      <c r="C4" s="1"/>
      <c r="D4" s="1"/>
      <c r="E4" s="1"/>
      <c r="F4" s="1"/>
      <c r="G4" s="1"/>
      <c r="H4" s="1"/>
      <c r="I4" s="1"/>
      <c r="N4" s="12"/>
      <c r="O4" s="12"/>
      <c r="P4" s="12"/>
    </row>
    <row r="5" spans="1:8" ht="12.75">
      <c r="A5" s="3"/>
      <c r="C5" s="2"/>
      <c r="D5" s="2"/>
      <c r="E5" s="2"/>
      <c r="F5" s="2"/>
      <c r="G5" s="2"/>
      <c r="H5" s="2"/>
    </row>
    <row r="6" spans="1:29" ht="12.75">
      <c r="A6" s="3"/>
      <c r="B6" s="3"/>
      <c r="C6" s="2">
        <v>26</v>
      </c>
      <c r="D6" s="2">
        <v>18</v>
      </c>
      <c r="E6" s="2">
        <v>2119</v>
      </c>
      <c r="F6" s="2">
        <f aca="true" t="shared" si="2" ref="F6:F37">E6-G6</f>
        <v>1432</v>
      </c>
      <c r="G6" s="2">
        <v>687</v>
      </c>
      <c r="H6" s="2">
        <v>1066</v>
      </c>
      <c r="I6">
        <v>3</v>
      </c>
      <c r="J6">
        <f>IF(I6=1,'User Input and Results'!B$78,IF(I6=2,'User Input and Results'!B$79,IF(I6=3,'User Input and Results'!B$80,'User Input and Results'!B$81)))</f>
        <v>275</v>
      </c>
      <c r="K6">
        <f>IF(I6=1,'User Input and Results'!C$78,IF(I6=2,'User Input and Results'!C$79,IF(I6=3,'User Input and Results'!C$80,'User Input and Results'!C$81)))</f>
        <v>475</v>
      </c>
      <c r="M6" s="37">
        <f>1/C6</f>
        <v>0.038461538461538464</v>
      </c>
      <c r="N6" s="13">
        <f>C6/D6-1</f>
        <v>0.4444444444444444</v>
      </c>
      <c r="O6" s="13">
        <f>100*F6/70000</f>
        <v>2.045714285714286</v>
      </c>
      <c r="P6" s="13">
        <f>100*G6/45000</f>
        <v>1.5266666666666666</v>
      </c>
      <c r="Q6" s="13">
        <f>(1-FiveYearRepair)*100*'Cost Data and Calculations'!$H6/56000</f>
        <v>0.9517857142857142</v>
      </c>
      <c r="R6" s="13">
        <f>FiveYearRepair*100*'Cost Data and Calculations'!$H6/14000</f>
        <v>3.807142857142857</v>
      </c>
      <c r="S6" s="13">
        <f>Q6*LT5vmt+FiveYearRepair*R6*(1-LT5vmt)</f>
        <v>1.5894821428571428</v>
      </c>
      <c r="T6" s="13">
        <f>100*'Cost Data and Calculations'!J6/5000</f>
        <v>5.5</v>
      </c>
      <c r="U6" s="13">
        <f>100*'Cost Data and Calculations'!K6/5000</f>
        <v>9.5</v>
      </c>
      <c r="V6" s="13">
        <f>T6*LT5vmt+U6*(1-LT5vmt)</f>
        <v>8.18</v>
      </c>
      <c r="X6" s="37">
        <f>'Vehicle Counts'!I6*M6</f>
        <v>0.00032549284682921795</v>
      </c>
      <c r="Y6" s="37">
        <f>'Vehicle Counts'!I6*N6</f>
        <v>0.0037612506744709624</v>
      </c>
      <c r="Z6" s="37">
        <f>'Vehicle Counts'!I6*O6</f>
        <v>0.017312499533064917</v>
      </c>
      <c r="AA6" s="37">
        <f>'Vehicle Counts'!I6*P6</f>
        <v>0.012919896066807757</v>
      </c>
      <c r="AB6" s="37">
        <f>'Vehicle Counts'!I6*S6</f>
        <v>0.013451491759232204</v>
      </c>
      <c r="AC6" s="37">
        <f>'Vehicle Counts'!I6*V6</f>
        <v>0.06922581866363807</v>
      </c>
    </row>
    <row r="7" spans="1:29" ht="12.75">
      <c r="A7" s="3"/>
      <c r="B7" s="3"/>
      <c r="C7">
        <v>26</v>
      </c>
      <c r="D7" s="2">
        <v>18</v>
      </c>
      <c r="E7" s="2">
        <v>1866</v>
      </c>
      <c r="F7" s="2">
        <f t="shared" si="2"/>
        <v>1399</v>
      </c>
      <c r="G7" s="2">
        <v>467</v>
      </c>
      <c r="H7" s="2">
        <v>989</v>
      </c>
      <c r="I7" s="2">
        <v>3</v>
      </c>
      <c r="J7">
        <f>IF(I7=1,'User Input and Results'!B$78,IF(I7=2,'User Input and Results'!B$79,IF(I7=3,'User Input and Results'!B$80,'User Input and Results'!B$81)))</f>
        <v>275</v>
      </c>
      <c r="K7">
        <f>IF(I7=1,'User Input and Results'!C$78,IF(I7=2,'User Input and Results'!C$79,IF(I7=3,'User Input and Results'!C$80,'User Input and Results'!C$81)))</f>
        <v>475</v>
      </c>
      <c r="M7" s="37">
        <f>1/C7</f>
        <v>0.038461538461538464</v>
      </c>
      <c r="N7" s="13">
        <f aca="true" t="shared" si="3" ref="N7:N70">C7/D7-1</f>
        <v>0.4444444444444444</v>
      </c>
      <c r="O7" s="13">
        <f aca="true" t="shared" si="4" ref="O7:O70">100*F7/70000</f>
        <v>1.9985714285714287</v>
      </c>
      <c r="P7" s="13">
        <f aca="true" t="shared" si="5" ref="P7:P70">100*G7/45000</f>
        <v>1.0377777777777777</v>
      </c>
      <c r="Q7" s="13">
        <f>(1-FiveYearRepair)*100*'Cost Data and Calculations'!$H7/56000</f>
        <v>0.8830357142857143</v>
      </c>
      <c r="R7" s="13">
        <f>FiveYearRepair*100*'Cost Data and Calculations'!$H7/14000</f>
        <v>3.532142857142857</v>
      </c>
      <c r="S7" s="13">
        <f aca="true" t="shared" si="6" ref="S7:S70">Q7*LT5vmt+FiveYearRepair*R7*(1-LT5vmt)</f>
        <v>1.4746696428571426</v>
      </c>
      <c r="T7" s="13">
        <f>100*'Cost Data and Calculations'!J7/5000</f>
        <v>5.5</v>
      </c>
      <c r="U7" s="13">
        <f>100*'Cost Data and Calculations'!K7/5000</f>
        <v>9.5</v>
      </c>
      <c r="V7" s="13">
        <f aca="true" t="shared" si="7" ref="V7:V70">T7*LT5vmt+U7*(1-LT5vmt)</f>
        <v>8.18</v>
      </c>
      <c r="X7" s="37">
        <f>'Vehicle Counts'!I7*M7</f>
        <v>0.0004196376388493281</v>
      </c>
      <c r="Y7" s="37">
        <f>'Vehicle Counts'!I7*N7</f>
        <v>0.004849146048925569</v>
      </c>
      <c r="Z7" s="37">
        <f>'Vehicle Counts'!I7*O7</f>
        <v>0.021805570679293514</v>
      </c>
      <c r="AA7" s="37">
        <f>'Vehicle Counts'!I7*P7</f>
        <v>0.011322756024241203</v>
      </c>
      <c r="AB7" s="37">
        <f>'Vehicle Counts'!I7*S7</f>
        <v>0.016089499062295183</v>
      </c>
      <c r="AC7" s="37">
        <f>'Vehicle Counts'!I7*V7</f>
        <v>0.0892485330304751</v>
      </c>
    </row>
    <row r="8" spans="1:29" ht="12.75">
      <c r="A8" s="3"/>
      <c r="B8" s="3"/>
      <c r="C8" s="2">
        <v>28</v>
      </c>
      <c r="D8" s="2">
        <v>20</v>
      </c>
      <c r="E8" s="2">
        <v>1942</v>
      </c>
      <c r="F8" s="2">
        <f t="shared" si="2"/>
        <v>1367</v>
      </c>
      <c r="G8" s="2">
        <v>575</v>
      </c>
      <c r="H8" s="2">
        <v>969</v>
      </c>
      <c r="I8">
        <v>2</v>
      </c>
      <c r="J8">
        <f>IF(I8=1,'User Input and Results'!B$78,IF(I8=2,'User Input and Results'!B$79,IF(I8=3,'User Input and Results'!B$80,'User Input and Results'!B$81)))</f>
        <v>200</v>
      </c>
      <c r="K8">
        <f>IF(I8=1,'User Input and Results'!C$78,IF(I8=2,'User Input and Results'!C$79,IF(I8=3,'User Input and Results'!C$80,'User Input and Results'!C$81)))</f>
        <v>350</v>
      </c>
      <c r="M8" s="37">
        <f>1/C8</f>
        <v>0.03571428571428571</v>
      </c>
      <c r="N8" s="13">
        <f t="shared" si="3"/>
        <v>0.3999999999999999</v>
      </c>
      <c r="O8" s="13">
        <f t="shared" si="4"/>
        <v>1.9528571428571428</v>
      </c>
      <c r="P8" s="13">
        <f t="shared" si="5"/>
        <v>1.2777777777777777</v>
      </c>
      <c r="Q8" s="13">
        <f>(1-FiveYearRepair)*100*'Cost Data and Calculations'!$H8/56000</f>
        <v>0.8651785714285715</v>
      </c>
      <c r="R8" s="13">
        <f>FiveYearRepair*100*'Cost Data and Calculations'!$H8/14000</f>
        <v>3.460714285714286</v>
      </c>
      <c r="S8" s="13">
        <f t="shared" si="6"/>
        <v>1.4448482142857144</v>
      </c>
      <c r="T8" s="13">
        <f>100*'Cost Data and Calculations'!J8/5000</f>
        <v>4</v>
      </c>
      <c r="U8" s="13">
        <f>100*'Cost Data and Calculations'!K8/5000</f>
        <v>7</v>
      </c>
      <c r="V8" s="13">
        <f t="shared" si="7"/>
        <v>6.01</v>
      </c>
      <c r="X8" s="37">
        <f>'Vehicle Counts'!I8*M8</f>
        <v>0.0005014800106497561</v>
      </c>
      <c r="Y8" s="37">
        <f>'Vehicle Counts'!I8*N8</f>
        <v>0.005616576119277268</v>
      </c>
      <c r="Z8" s="37">
        <f>'Vehicle Counts'!I8*O8</f>
        <v>0.027420926982328665</v>
      </c>
      <c r="AA8" s="37">
        <f>'Vehicle Counts'!I8*P8</f>
        <v>0.017941840381024608</v>
      </c>
      <c r="AB8" s="37">
        <f>'Vehicle Counts'!I8*S8</f>
        <v>0.020287749940843872</v>
      </c>
      <c r="AC8" s="37">
        <f>'Vehicle Counts'!I8*V8</f>
        <v>0.08438905619214096</v>
      </c>
    </row>
    <row r="9" spans="1:29" ht="12.75">
      <c r="A9" s="3"/>
      <c r="B9" s="3"/>
      <c r="C9" s="2"/>
      <c r="D9" s="2"/>
      <c r="E9" s="2"/>
      <c r="F9" s="2">
        <f t="shared" si="2"/>
        <v>0</v>
      </c>
      <c r="G9" s="2"/>
      <c r="H9" s="2"/>
      <c r="M9" s="37"/>
      <c r="N9" s="13"/>
      <c r="O9" s="13"/>
      <c r="P9" s="13"/>
      <c r="Q9" s="13"/>
      <c r="R9" s="13"/>
      <c r="S9" s="13"/>
      <c r="T9" s="13"/>
      <c r="U9" s="13"/>
      <c r="V9" s="13"/>
      <c r="X9" s="37"/>
      <c r="Y9" s="37"/>
      <c r="Z9" s="37"/>
      <c r="AA9" s="37"/>
      <c r="AB9" s="37"/>
      <c r="AC9" s="37"/>
    </row>
    <row r="10" spans="1:29" ht="12.75">
      <c r="A10" s="3"/>
      <c r="B10" s="3"/>
      <c r="C10" s="2">
        <v>26</v>
      </c>
      <c r="D10" s="2">
        <v>18</v>
      </c>
      <c r="E10" s="2">
        <v>1787</v>
      </c>
      <c r="F10" s="2">
        <f t="shared" si="2"/>
        <v>1320</v>
      </c>
      <c r="G10" s="2">
        <v>467</v>
      </c>
      <c r="H10" s="2">
        <v>989</v>
      </c>
      <c r="I10">
        <v>3</v>
      </c>
      <c r="J10">
        <f>IF(I10=1,'User Input and Results'!B$78,IF(I10=2,'User Input and Results'!B$79,IF(I10=3,'User Input and Results'!B$80,'User Input and Results'!B$81)))</f>
        <v>275</v>
      </c>
      <c r="K10">
        <f>IF(I10=1,'User Input and Results'!C$78,IF(I10=2,'User Input and Results'!C$79,IF(I10=3,'User Input and Results'!C$80,'User Input and Results'!C$81)))</f>
        <v>475</v>
      </c>
      <c r="M10" s="37">
        <f>1/C10</f>
        <v>0.038461538461538464</v>
      </c>
      <c r="N10" s="13">
        <f t="shared" si="3"/>
        <v>0.4444444444444444</v>
      </c>
      <c r="O10" s="13">
        <f t="shared" si="4"/>
        <v>1.8857142857142857</v>
      </c>
      <c r="P10" s="13">
        <f t="shared" si="5"/>
        <v>1.0377777777777777</v>
      </c>
      <c r="Q10" s="13">
        <f>(1-FiveYearRepair)*100*'Cost Data and Calculations'!$H10/56000</f>
        <v>0.8830357142857143</v>
      </c>
      <c r="R10" s="13">
        <f>FiveYearRepair*100*'Cost Data and Calculations'!$H10/14000</f>
        <v>3.532142857142857</v>
      </c>
      <c r="S10" s="13">
        <f t="shared" si="6"/>
        <v>1.4746696428571426</v>
      </c>
      <c r="T10" s="13">
        <f>100*'Cost Data and Calculations'!J10/5000</f>
        <v>5.5</v>
      </c>
      <c r="U10" s="13">
        <f>100*'Cost Data and Calculations'!K10/5000</f>
        <v>9.5</v>
      </c>
      <c r="V10" s="13">
        <f t="shared" si="7"/>
        <v>8.18</v>
      </c>
      <c r="X10" s="37">
        <f>'Vehicle Counts'!I10*M10</f>
        <v>0.0008385758014140875</v>
      </c>
      <c r="Y10" s="37">
        <f>'Vehicle Counts'!I10*N10</f>
        <v>0.00969020926078501</v>
      </c>
      <c r="Z10" s="37">
        <f>'Vehicle Counts'!I10*O10</f>
        <v>0.04111417357790211</v>
      </c>
      <c r="AA10" s="37">
        <f>'Vehicle Counts'!I10*P10</f>
        <v>0.022626638623932997</v>
      </c>
      <c r="AB10" s="37">
        <f>'Vehicle Counts'!I10*S10</f>
        <v>0.032152179217078816</v>
      </c>
      <c r="AC10" s="37">
        <f>'Vehicle Counts'!I10*V10</f>
        <v>0.17834830144474811</v>
      </c>
    </row>
    <row r="11" spans="1:29" ht="12.75">
      <c r="A11" s="3"/>
      <c r="B11" s="3"/>
      <c r="C11" s="2">
        <v>31</v>
      </c>
      <c r="D11" s="2">
        <v>24</v>
      </c>
      <c r="E11" s="2">
        <v>1497</v>
      </c>
      <c r="F11" s="2">
        <f t="shared" si="2"/>
        <v>1138</v>
      </c>
      <c r="G11" s="2">
        <v>359</v>
      </c>
      <c r="H11" s="2">
        <v>789</v>
      </c>
      <c r="I11">
        <v>1</v>
      </c>
      <c r="J11">
        <f>IF(I11=1,'User Input and Results'!B$78,IF(I11=2,'User Input and Results'!B$79,IF(I11=3,'User Input and Results'!B$80,'User Input and Results'!B$81)))</f>
        <v>150</v>
      </c>
      <c r="K11">
        <f>IF(I11=1,'User Input and Results'!C$78,IF(I11=2,'User Input and Results'!C$79,IF(I11=3,'User Input and Results'!C$80,'User Input and Results'!C$81)))</f>
        <v>275</v>
      </c>
      <c r="M11" s="37">
        <f>1/C11</f>
        <v>0.03225806451612903</v>
      </c>
      <c r="N11" s="13">
        <f t="shared" si="3"/>
        <v>0.29166666666666674</v>
      </c>
      <c r="O11" s="13">
        <f t="shared" si="4"/>
        <v>1.6257142857142857</v>
      </c>
      <c r="P11" s="13">
        <f t="shared" si="5"/>
        <v>0.7977777777777778</v>
      </c>
      <c r="Q11" s="13">
        <f>(1-FiveYearRepair)*100*'Cost Data and Calculations'!$H11/56000</f>
        <v>0.7044642857142858</v>
      </c>
      <c r="R11" s="13">
        <f>FiveYearRepair*100*'Cost Data and Calculations'!$H11/14000</f>
        <v>2.817857142857143</v>
      </c>
      <c r="S11" s="13">
        <f t="shared" si="6"/>
        <v>1.176455357142857</v>
      </c>
      <c r="T11" s="13">
        <f>100*'Cost Data and Calculations'!J11/5000</f>
        <v>3</v>
      </c>
      <c r="U11" s="13">
        <f>100*'Cost Data and Calculations'!K11/5000</f>
        <v>5.5</v>
      </c>
      <c r="V11" s="13">
        <f t="shared" si="7"/>
        <v>4.675</v>
      </c>
      <c r="X11" s="37">
        <f>'Vehicle Counts'!I11*M11</f>
        <v>0.0006147552111680813</v>
      </c>
      <c r="Y11" s="37">
        <f>'Vehicle Counts'!I11*N11</f>
        <v>0.00555841170097807</v>
      </c>
      <c r="Z11" s="37">
        <f>'Vehicle Counts'!I11*O11</f>
        <v>0.030981906199410818</v>
      </c>
      <c r="AA11" s="37">
        <f>'Vehicle Counts'!I11*P11</f>
        <v>0.015203579433532394</v>
      </c>
      <c r="AB11" s="37">
        <f>'Vehicle Counts'!I11*S11</f>
        <v>0.022420193906815506</v>
      </c>
      <c r="AC11" s="37">
        <f>'Vehicle Counts'!I11*V11</f>
        <v>0.08909339897853419</v>
      </c>
    </row>
    <row r="12" spans="1:29" ht="12.75">
      <c r="A12" s="3"/>
      <c r="B12" s="3"/>
      <c r="C12" s="2">
        <v>28</v>
      </c>
      <c r="D12" s="2">
        <v>20</v>
      </c>
      <c r="E12" s="2">
        <v>1783</v>
      </c>
      <c r="F12" s="2">
        <f t="shared" si="2"/>
        <v>1368</v>
      </c>
      <c r="G12" s="2">
        <v>415</v>
      </c>
      <c r="H12" s="2">
        <v>918</v>
      </c>
      <c r="I12">
        <v>2</v>
      </c>
      <c r="J12">
        <f>IF(I12=1,'User Input and Results'!B$78,IF(I12=2,'User Input and Results'!B$79,IF(I12=3,'User Input and Results'!B$80,'User Input and Results'!B$81)))</f>
        <v>200</v>
      </c>
      <c r="K12">
        <f>IF(I12=1,'User Input and Results'!C$78,IF(I12=2,'User Input and Results'!C$79,IF(I12=3,'User Input and Results'!C$80,'User Input and Results'!C$81)))</f>
        <v>350</v>
      </c>
      <c r="M12" s="37">
        <f>1/C12</f>
        <v>0.03571428571428571</v>
      </c>
      <c r="N12" s="13">
        <f t="shared" si="3"/>
        <v>0.3999999999999999</v>
      </c>
      <c r="O12" s="13">
        <f t="shared" si="4"/>
        <v>1.9542857142857142</v>
      </c>
      <c r="P12" s="13">
        <f t="shared" si="5"/>
        <v>0.9222222222222223</v>
      </c>
      <c r="Q12" s="13">
        <f>(1-FiveYearRepair)*100*'Cost Data and Calculations'!$H12/56000</f>
        <v>0.8196428571428571</v>
      </c>
      <c r="R12" s="13">
        <f>FiveYearRepair*100*'Cost Data and Calculations'!$H12/14000</f>
        <v>3.2785714285714285</v>
      </c>
      <c r="S12" s="13">
        <f t="shared" si="6"/>
        <v>1.3688035714285713</v>
      </c>
      <c r="T12" s="13">
        <f>100*'Cost Data and Calculations'!J12/5000</f>
        <v>4</v>
      </c>
      <c r="U12" s="13">
        <f>100*'Cost Data and Calculations'!K12/5000</f>
        <v>7</v>
      </c>
      <c r="V12" s="13">
        <f t="shared" si="7"/>
        <v>6.01</v>
      </c>
      <c r="X12" s="37">
        <f>'Vehicle Counts'!I12*M12</f>
        <v>0.0005781904417303372</v>
      </c>
      <c r="Y12" s="37">
        <f>'Vehicle Counts'!I12*N12</f>
        <v>0.006475732947379775</v>
      </c>
      <c r="Z12" s="37">
        <f>'Vehicle Counts'!I12*O12</f>
        <v>0.03163858097148405</v>
      </c>
      <c r="AA12" s="37">
        <f>'Vehicle Counts'!I12*P12</f>
        <v>0.014930162073125598</v>
      </c>
      <c r="AB12" s="37">
        <f>'Vehicle Counts'!I12*S12</f>
        <v>0.022160015964977766</v>
      </c>
      <c r="AC12" s="37">
        <f>'Vehicle Counts'!I12*V12</f>
        <v>0.09729788753438114</v>
      </c>
    </row>
    <row r="13" spans="1:29" ht="12.75">
      <c r="A13" s="3"/>
      <c r="B13" s="3"/>
      <c r="C13" s="2"/>
      <c r="D13" s="2"/>
      <c r="E13" s="2"/>
      <c r="F13" s="2">
        <f t="shared" si="2"/>
        <v>0</v>
      </c>
      <c r="G13" s="2"/>
      <c r="H13" s="2"/>
      <c r="M13" s="37"/>
      <c r="N13" s="13"/>
      <c r="O13" s="13"/>
      <c r="P13" s="13"/>
      <c r="Q13" s="13"/>
      <c r="R13" s="13"/>
      <c r="S13" s="13"/>
      <c r="T13" s="13"/>
      <c r="U13" s="13"/>
      <c r="V13" s="13"/>
      <c r="X13" s="37"/>
      <c r="Y13" s="37"/>
      <c r="Z13" s="37"/>
      <c r="AA13" s="37"/>
      <c r="AB13" s="37"/>
      <c r="AC13" s="37"/>
    </row>
    <row r="14" spans="1:29" ht="12.75">
      <c r="A14" s="3"/>
      <c r="B14" s="3"/>
      <c r="C14" s="2">
        <v>25</v>
      </c>
      <c r="D14" s="2">
        <v>17</v>
      </c>
      <c r="E14" s="2">
        <v>1685</v>
      </c>
      <c r="F14" s="2">
        <f t="shared" si="2"/>
        <v>1210</v>
      </c>
      <c r="G14" s="2">
        <v>475</v>
      </c>
      <c r="H14" s="2">
        <v>821</v>
      </c>
      <c r="I14">
        <v>3</v>
      </c>
      <c r="J14">
        <f>IF(I14=1,'User Input and Results'!B$78,IF(I14=2,'User Input and Results'!B$79,IF(I14=3,'User Input and Results'!B$80,'User Input and Results'!B$81)))</f>
        <v>275</v>
      </c>
      <c r="K14">
        <f>IF(I14=1,'User Input and Results'!C$78,IF(I14=2,'User Input and Results'!C$79,IF(I14=3,'User Input and Results'!C$80,'User Input and Results'!C$81)))</f>
        <v>475</v>
      </c>
      <c r="M14" s="37">
        <f>1/C14</f>
        <v>0.04</v>
      </c>
      <c r="N14" s="13">
        <f t="shared" si="3"/>
        <v>0.47058823529411775</v>
      </c>
      <c r="O14" s="13">
        <f t="shared" si="4"/>
        <v>1.7285714285714286</v>
      </c>
      <c r="P14" s="13">
        <f t="shared" si="5"/>
        <v>1.0555555555555556</v>
      </c>
      <c r="Q14" s="13">
        <f>(1-FiveYearRepair)*100*'Cost Data and Calculations'!$H14/56000</f>
        <v>0.7330357142857142</v>
      </c>
      <c r="R14" s="13">
        <f>FiveYearRepair*100*'Cost Data and Calculations'!$H14/14000</f>
        <v>2.932142857142857</v>
      </c>
      <c r="S14" s="13">
        <f t="shared" si="6"/>
        <v>1.2241696428571427</v>
      </c>
      <c r="T14" s="13">
        <f>100*'Cost Data and Calculations'!J14/5000</f>
        <v>5.5</v>
      </c>
      <c r="U14" s="13">
        <f>100*'Cost Data and Calculations'!K14/5000</f>
        <v>9.5</v>
      </c>
      <c r="V14" s="13">
        <f t="shared" si="7"/>
        <v>8.18</v>
      </c>
      <c r="X14" s="37">
        <f>'Vehicle Counts'!I14*M14</f>
        <v>0.0008844507814869075</v>
      </c>
      <c r="Y14" s="37">
        <f>'Vehicle Counts'!I14*N14</f>
        <v>0.01040530331161068</v>
      </c>
      <c r="Z14" s="37">
        <f>'Vehicle Counts'!I14*O14</f>
        <v>0.038220908771398505</v>
      </c>
      <c r="AA14" s="37">
        <f>'Vehicle Counts'!I14*P14</f>
        <v>0.02333967340034895</v>
      </c>
      <c r="AB14" s="37">
        <f>'Vehicle Counts'!I14*S14</f>
        <v>0.027067944932438706</v>
      </c>
      <c r="AC14" s="37">
        <f>'Vehicle Counts'!I14*V14</f>
        <v>0.18087018481407258</v>
      </c>
    </row>
    <row r="15" spans="1:29" ht="12.75">
      <c r="A15" s="3"/>
      <c r="B15" s="3"/>
      <c r="C15" s="2">
        <v>32</v>
      </c>
      <c r="D15" s="2">
        <v>26</v>
      </c>
      <c r="E15" s="2">
        <v>1452</v>
      </c>
      <c r="F15" s="2">
        <f t="shared" si="2"/>
        <v>1117</v>
      </c>
      <c r="G15" s="2">
        <v>335</v>
      </c>
      <c r="H15" s="2">
        <v>692</v>
      </c>
      <c r="I15">
        <v>1</v>
      </c>
      <c r="J15">
        <f>IF(I15=1,'User Input and Results'!B$78,IF(I15=2,'User Input and Results'!B$79,IF(I15=3,'User Input and Results'!B$80,'User Input and Results'!B$81)))</f>
        <v>150</v>
      </c>
      <c r="K15">
        <f>IF(I15=1,'User Input and Results'!C$78,IF(I15=2,'User Input and Results'!C$79,IF(I15=3,'User Input and Results'!C$80,'User Input and Results'!C$81)))</f>
        <v>275</v>
      </c>
      <c r="M15" s="37">
        <f>1/C15</f>
        <v>0.03125</v>
      </c>
      <c r="N15" s="13">
        <f t="shared" si="3"/>
        <v>0.23076923076923084</v>
      </c>
      <c r="O15" s="13">
        <f t="shared" si="4"/>
        <v>1.5957142857142856</v>
      </c>
      <c r="P15" s="13">
        <f t="shared" si="5"/>
        <v>0.7444444444444445</v>
      </c>
      <c r="Q15" s="13">
        <f>(1-FiveYearRepair)*100*'Cost Data and Calculations'!$H15/56000</f>
        <v>0.6178571428571429</v>
      </c>
      <c r="R15" s="13">
        <f>FiveYearRepair*100*'Cost Data and Calculations'!$H15/14000</f>
        <v>2.4714285714285715</v>
      </c>
      <c r="S15" s="13">
        <f t="shared" si="6"/>
        <v>1.0318214285714284</v>
      </c>
      <c r="T15" s="13">
        <f>100*'Cost Data and Calculations'!J15/5000</f>
        <v>3</v>
      </c>
      <c r="U15" s="13">
        <f>100*'Cost Data and Calculations'!K15/5000</f>
        <v>5.5</v>
      </c>
      <c r="V15" s="13">
        <f t="shared" si="7"/>
        <v>4.675</v>
      </c>
      <c r="X15" s="37">
        <f>'Vehicle Counts'!I15*M15</f>
        <v>0.000708616363397809</v>
      </c>
      <c r="Y15" s="37">
        <f>'Vehicle Counts'!I15*N15</f>
        <v>0.005232859298937668</v>
      </c>
      <c r="Z15" s="37">
        <f>'Vehicle Counts'!I15*O15</f>
        <v>0.03618397613327327</v>
      </c>
      <c r="AA15" s="37">
        <f>'Vehicle Counts'!I15*P15</f>
        <v>0.016880816479165586</v>
      </c>
      <c r="AB15" s="37">
        <f>'Vehicle Counts'!I15*S15</f>
        <v>0.02339729754848697</v>
      </c>
      <c r="AC15" s="37">
        <f>'Vehicle Counts'!I15*V15</f>
        <v>0.10600900796431223</v>
      </c>
    </row>
    <row r="16" spans="1:29" ht="12.75">
      <c r="A16" s="3"/>
      <c r="B16" s="3"/>
      <c r="C16" s="2">
        <v>27</v>
      </c>
      <c r="D16" s="2">
        <v>19</v>
      </c>
      <c r="E16" s="2">
        <v>1528</v>
      </c>
      <c r="F16" s="2">
        <f t="shared" si="2"/>
        <v>1053</v>
      </c>
      <c r="G16" s="2">
        <v>475</v>
      </c>
      <c r="H16" s="2">
        <v>743</v>
      </c>
      <c r="I16">
        <v>2</v>
      </c>
      <c r="J16">
        <f>IF(I16=1,'User Input and Results'!B$78,IF(I16=2,'User Input and Results'!B$79,IF(I16=3,'User Input and Results'!B$80,'User Input and Results'!B$81)))</f>
        <v>200</v>
      </c>
      <c r="K16">
        <f>IF(I16=1,'User Input and Results'!C$78,IF(I16=2,'User Input and Results'!C$79,IF(I16=3,'User Input and Results'!C$80,'User Input and Results'!C$81)))</f>
        <v>350</v>
      </c>
      <c r="M16" s="37">
        <f>1/C16</f>
        <v>0.037037037037037035</v>
      </c>
      <c r="N16" s="13">
        <f t="shared" si="3"/>
        <v>0.42105263157894735</v>
      </c>
      <c r="O16" s="13">
        <f t="shared" si="4"/>
        <v>1.5042857142857142</v>
      </c>
      <c r="P16" s="13">
        <f t="shared" si="5"/>
        <v>1.0555555555555556</v>
      </c>
      <c r="Q16" s="13">
        <f>(1-FiveYearRepair)*100*'Cost Data and Calculations'!$H16/56000</f>
        <v>0.6633928571428571</v>
      </c>
      <c r="R16" s="13">
        <f>FiveYearRepair*100*'Cost Data and Calculations'!$H16/14000</f>
        <v>2.6535714285714285</v>
      </c>
      <c r="S16" s="13">
        <f t="shared" si="6"/>
        <v>1.1078660714285713</v>
      </c>
      <c r="T16" s="13">
        <f>100*'Cost Data and Calculations'!J16/5000</f>
        <v>4</v>
      </c>
      <c r="U16" s="13">
        <f>100*'Cost Data and Calculations'!K16/5000</f>
        <v>7</v>
      </c>
      <c r="V16" s="13">
        <f t="shared" si="7"/>
        <v>6.01</v>
      </c>
      <c r="X16" s="37">
        <f>'Vehicle Counts'!I16*M16</f>
        <v>0.0012422119536647425</v>
      </c>
      <c r="Y16" s="37">
        <f>'Vehicle Counts'!I16*N16</f>
        <v>0.014121988525872863</v>
      </c>
      <c r="Z16" s="37">
        <f>'Vehicle Counts'!I16*O16</f>
        <v>0.05045332579234613</v>
      </c>
      <c r="AA16" s="37">
        <f>'Vehicle Counts'!I16*P16</f>
        <v>0.035403040679445164</v>
      </c>
      <c r="AB16" s="37">
        <f>'Vehicle Counts'!I16*S16</f>
        <v>0.03715752087868056</v>
      </c>
      <c r="AC16" s="37">
        <f>'Vehicle Counts'!I16*V16</f>
        <v>0.2015737337211778</v>
      </c>
    </row>
    <row r="17" spans="1:29" ht="12.75">
      <c r="A17" s="3"/>
      <c r="B17" s="3"/>
      <c r="C17" s="2">
        <v>28</v>
      </c>
      <c r="D17" s="2">
        <v>20</v>
      </c>
      <c r="E17" s="2">
        <v>1683</v>
      </c>
      <c r="F17" s="2">
        <f t="shared" si="2"/>
        <v>1288</v>
      </c>
      <c r="G17" s="2">
        <v>395</v>
      </c>
      <c r="H17" s="2">
        <v>888</v>
      </c>
      <c r="I17">
        <v>2</v>
      </c>
      <c r="J17">
        <f>IF(I17=1,'User Input and Results'!B$78,IF(I17=2,'User Input and Results'!B$79,IF(I17=3,'User Input and Results'!B$80,'User Input and Results'!B$81)))</f>
        <v>200</v>
      </c>
      <c r="K17">
        <f>IF(I17=1,'User Input and Results'!C$78,IF(I17=2,'User Input and Results'!C$79,IF(I17=3,'User Input and Results'!C$80,'User Input and Results'!C$81)))</f>
        <v>350</v>
      </c>
      <c r="M17" s="37">
        <f>1/C17</f>
        <v>0.03571428571428571</v>
      </c>
      <c r="N17" s="13">
        <f t="shared" si="3"/>
        <v>0.3999999999999999</v>
      </c>
      <c r="O17" s="13">
        <f t="shared" si="4"/>
        <v>1.84</v>
      </c>
      <c r="P17" s="13">
        <f t="shared" si="5"/>
        <v>0.8777777777777778</v>
      </c>
      <c r="Q17" s="13">
        <f>(1-FiveYearRepair)*100*'Cost Data and Calculations'!$H17/56000</f>
        <v>0.7928571428571428</v>
      </c>
      <c r="R17" s="13">
        <f>FiveYearRepair*100*'Cost Data and Calculations'!$H17/14000</f>
        <v>3.1714285714285713</v>
      </c>
      <c r="S17" s="13">
        <f t="shared" si="6"/>
        <v>1.3240714285714283</v>
      </c>
      <c r="T17" s="13">
        <f>100*'Cost Data and Calculations'!J17/5000</f>
        <v>4</v>
      </c>
      <c r="U17" s="13">
        <f>100*'Cost Data and Calculations'!K17/5000</f>
        <v>7</v>
      </c>
      <c r="V17" s="13">
        <f t="shared" si="7"/>
        <v>6.01</v>
      </c>
      <c r="X17" s="37">
        <f>'Vehicle Counts'!I17*M17</f>
        <v>0.0027911607746093337</v>
      </c>
      <c r="Y17" s="37">
        <f>'Vehicle Counts'!I17*N17</f>
        <v>0.03126100067562453</v>
      </c>
      <c r="Z17" s="37">
        <f>'Vehicle Counts'!I17*O17</f>
        <v>0.14380060310787288</v>
      </c>
      <c r="AA17" s="37">
        <f>'Vehicle Counts'!I17*P17</f>
        <v>0.0686005292603983</v>
      </c>
      <c r="AB17" s="37">
        <f>'Vehicle Counts'!I17*S17</f>
        <v>0.10347949455786642</v>
      </c>
      <c r="AC17" s="37">
        <f>'Vehicle Counts'!I17*V17</f>
        <v>0.4696965351512587</v>
      </c>
    </row>
    <row r="18" spans="1:29" ht="12.75">
      <c r="A18" s="3"/>
      <c r="B18" s="3"/>
      <c r="C18" s="2"/>
      <c r="D18" s="2"/>
      <c r="E18" s="2"/>
      <c r="F18" s="2">
        <f t="shared" si="2"/>
        <v>0</v>
      </c>
      <c r="G18" s="2"/>
      <c r="H18" s="2"/>
      <c r="M18" s="37"/>
      <c r="N18" s="13"/>
      <c r="O18" s="13"/>
      <c r="P18" s="13"/>
      <c r="Q18" s="13"/>
      <c r="R18" s="13"/>
      <c r="S18" s="13"/>
      <c r="T18" s="13"/>
      <c r="U18" s="13"/>
      <c r="V18" s="13"/>
      <c r="X18" s="37"/>
      <c r="Y18" s="37"/>
      <c r="Z18" s="37"/>
      <c r="AA18" s="37"/>
      <c r="AB18" s="37"/>
      <c r="AC18" s="37"/>
    </row>
    <row r="19" spans="1:29" ht="12.75">
      <c r="A19" s="3"/>
      <c r="B19" s="3"/>
      <c r="C19" s="2">
        <v>28</v>
      </c>
      <c r="D19" s="2">
        <v>17</v>
      </c>
      <c r="E19" s="2">
        <v>1258</v>
      </c>
      <c r="F19" s="2">
        <f t="shared" si="2"/>
        <v>791</v>
      </c>
      <c r="G19" s="2">
        <v>467</v>
      </c>
      <c r="H19" s="2">
        <v>1075</v>
      </c>
      <c r="I19">
        <v>4</v>
      </c>
      <c r="J19">
        <f>IF(I19=1,'User Input and Results'!B$78,IF(I19=2,'User Input and Results'!B$79,IF(I19=3,'User Input and Results'!B$80,'User Input and Results'!B$81)))</f>
        <v>325</v>
      </c>
      <c r="K19">
        <f>IF(I19=1,'User Input and Results'!C$78,IF(I19=2,'User Input and Results'!C$79,IF(I19=3,'User Input and Results'!C$80,'User Input and Results'!C$81)))</f>
        <v>575</v>
      </c>
      <c r="M19" s="37">
        <f>1/C19</f>
        <v>0.03571428571428571</v>
      </c>
      <c r="N19" s="13">
        <f t="shared" si="3"/>
        <v>0.6470588235294117</v>
      </c>
      <c r="O19" s="13">
        <f t="shared" si="4"/>
        <v>1.13</v>
      </c>
      <c r="P19" s="13">
        <f t="shared" si="5"/>
        <v>1.0377777777777777</v>
      </c>
      <c r="Q19" s="13">
        <f>(1-FiveYearRepair)*100*'Cost Data and Calculations'!$H19/56000</f>
        <v>0.9598214285714286</v>
      </c>
      <c r="R19" s="13">
        <f>FiveYearRepair*100*'Cost Data and Calculations'!$H19/14000</f>
        <v>3.8392857142857144</v>
      </c>
      <c r="S19" s="13">
        <f t="shared" si="6"/>
        <v>1.6029017857142855</v>
      </c>
      <c r="T19" s="13">
        <f>100*'Cost Data and Calculations'!J19/5000</f>
        <v>6.5</v>
      </c>
      <c r="U19" s="13">
        <f>100*'Cost Data and Calculations'!K19/5000</f>
        <v>11.5</v>
      </c>
      <c r="V19" s="13">
        <f t="shared" si="7"/>
        <v>9.85</v>
      </c>
      <c r="X19" s="37">
        <f>'Vehicle Counts'!I19*M19</f>
        <v>8.803270831137651E-05</v>
      </c>
      <c r="Y19" s="37">
        <f>'Vehicle Counts'!I19*N19</f>
        <v>0.0015949455388178802</v>
      </c>
      <c r="Z19" s="37">
        <f>'Vehicle Counts'!I19*O19</f>
        <v>0.0027853548909719528</v>
      </c>
      <c r="AA19" s="37">
        <f>'Vehicle Counts'!I19*P19</f>
        <v>0.0025580348752879093</v>
      </c>
      <c r="AB19" s="37">
        <f>'Vehicle Counts'!I19*S19</f>
        <v>0.003951017989899967</v>
      </c>
      <c r="AC19" s="37">
        <f>'Vehicle Counts'!I19*V19</f>
        <v>0.02427942095227764</v>
      </c>
    </row>
    <row r="20" spans="1:29" ht="12.75">
      <c r="A20" s="3"/>
      <c r="B20" s="3"/>
      <c r="C20" s="2">
        <v>24</v>
      </c>
      <c r="D20" s="2">
        <v>17</v>
      </c>
      <c r="E20" s="2">
        <v>1347</v>
      </c>
      <c r="F20" s="2">
        <f t="shared" si="2"/>
        <v>840</v>
      </c>
      <c r="G20" s="2">
        <v>507</v>
      </c>
      <c r="H20" s="2">
        <v>885</v>
      </c>
      <c r="I20">
        <v>4</v>
      </c>
      <c r="J20">
        <f>IF(I20=1,'User Input and Results'!B$78,IF(I20=2,'User Input and Results'!B$79,IF(I20=3,'User Input and Results'!B$80,'User Input and Results'!B$81)))</f>
        <v>325</v>
      </c>
      <c r="K20">
        <f>IF(I20=1,'User Input and Results'!C$78,IF(I20=2,'User Input and Results'!C$79,IF(I20=3,'User Input and Results'!C$80,'User Input and Results'!C$81)))</f>
        <v>575</v>
      </c>
      <c r="M20" s="37">
        <f>1/C20</f>
        <v>0.041666666666666664</v>
      </c>
      <c r="N20" s="13">
        <f t="shared" si="3"/>
        <v>0.41176470588235303</v>
      </c>
      <c r="O20" s="13">
        <f t="shared" si="4"/>
        <v>1.2</v>
      </c>
      <c r="P20" s="13">
        <f t="shared" si="5"/>
        <v>1.1266666666666667</v>
      </c>
      <c r="Q20" s="13">
        <f>(1-FiveYearRepair)*100*'Cost Data and Calculations'!$H20/56000</f>
        <v>0.7901785714285714</v>
      </c>
      <c r="R20" s="13">
        <f>FiveYearRepair*100*'Cost Data and Calculations'!$H20/14000</f>
        <v>3.1607142857142856</v>
      </c>
      <c r="S20" s="13">
        <f t="shared" si="6"/>
        <v>1.319598214285714</v>
      </c>
      <c r="T20" s="13">
        <f>100*'Cost Data and Calculations'!J20/5000</f>
        <v>6.5</v>
      </c>
      <c r="U20" s="13">
        <f>100*'Cost Data and Calculations'!K20/5000</f>
        <v>11.5</v>
      </c>
      <c r="V20" s="13">
        <f t="shared" si="7"/>
        <v>9.85</v>
      </c>
      <c r="X20" s="37">
        <f>'Vehicle Counts'!I20*M20</f>
        <v>6.147908509260074E-05</v>
      </c>
      <c r="Y20" s="37">
        <f>'Vehicle Counts'!I20*N20</f>
        <v>0.0006075580173857016</v>
      </c>
      <c r="Z20" s="37">
        <f>'Vehicle Counts'!I20*O20</f>
        <v>0.0017705976506669013</v>
      </c>
      <c r="AA20" s="37">
        <f>'Vehicle Counts'!I20*P20</f>
        <v>0.0016623944609039242</v>
      </c>
      <c r="AB20" s="37">
        <f>'Vehicle Counts'!I20*S20</f>
        <v>0.0019470645816987698</v>
      </c>
      <c r="AC20" s="37">
        <f>'Vehicle Counts'!I20*V20</f>
        <v>0.014533655715890815</v>
      </c>
    </row>
    <row r="21" spans="1:29" ht="12.75">
      <c r="A21" s="3"/>
      <c r="B21" s="3"/>
      <c r="C21" s="2">
        <v>24</v>
      </c>
      <c r="D21" s="2">
        <v>17</v>
      </c>
      <c r="E21" s="2">
        <v>1213</v>
      </c>
      <c r="F21" s="2">
        <f t="shared" si="2"/>
        <v>738</v>
      </c>
      <c r="G21" s="2">
        <v>475</v>
      </c>
      <c r="H21" s="2">
        <v>849</v>
      </c>
      <c r="I21">
        <v>4</v>
      </c>
      <c r="J21">
        <f>IF(I21=1,'User Input and Results'!B$78,IF(I21=2,'User Input and Results'!B$79,IF(I21=3,'User Input and Results'!B$80,'User Input and Results'!B$81)))</f>
        <v>325</v>
      </c>
      <c r="K21">
        <f>IF(I21=1,'User Input and Results'!C$78,IF(I21=2,'User Input and Results'!C$79,IF(I21=3,'User Input and Results'!C$80,'User Input and Results'!C$81)))</f>
        <v>575</v>
      </c>
      <c r="M21" s="37">
        <f>1/C21</f>
        <v>0.041666666666666664</v>
      </c>
      <c r="N21" s="13">
        <f t="shared" si="3"/>
        <v>0.41176470588235303</v>
      </c>
      <c r="O21" s="13">
        <f t="shared" si="4"/>
        <v>1.0542857142857143</v>
      </c>
      <c r="P21" s="13">
        <f t="shared" si="5"/>
        <v>1.0555555555555556</v>
      </c>
      <c r="Q21" s="13">
        <f>(1-FiveYearRepair)*100*'Cost Data and Calculations'!$H21/56000</f>
        <v>0.7580357142857143</v>
      </c>
      <c r="R21" s="13">
        <f>FiveYearRepair*100*'Cost Data and Calculations'!$H21/14000</f>
        <v>3.032142857142857</v>
      </c>
      <c r="S21" s="13">
        <f t="shared" si="6"/>
        <v>1.2659196428571426</v>
      </c>
      <c r="T21" s="13">
        <f>100*'Cost Data and Calculations'!J21/5000</f>
        <v>6.5</v>
      </c>
      <c r="U21" s="13">
        <f>100*'Cost Data and Calculations'!K21/5000</f>
        <v>11.5</v>
      </c>
      <c r="V21" s="13">
        <f t="shared" si="7"/>
        <v>9.85</v>
      </c>
      <c r="X21" s="37">
        <f>'Vehicle Counts'!I21*M21</f>
        <v>0.0003112303781393453</v>
      </c>
      <c r="Y21" s="37">
        <f>'Vehicle Counts'!I21*N21</f>
        <v>0.003075688442788825</v>
      </c>
      <c r="Z21" s="37">
        <f>'Vehicle Counts'!I21*O21</f>
        <v>0.007875017796577264</v>
      </c>
      <c r="AA21" s="37">
        <f>'Vehicle Counts'!I21*P21</f>
        <v>0.007884502912863415</v>
      </c>
      <c r="AB21" s="37">
        <f>'Vehicle Counts'!I21*S21</f>
        <v>0.009455823579370883</v>
      </c>
      <c r="AC21" s="37">
        <f>'Vehicle Counts'!I21*V21</f>
        <v>0.07357486139214123</v>
      </c>
    </row>
    <row r="22" spans="1:29" ht="12.75">
      <c r="A22" s="3"/>
      <c r="B22" s="3"/>
      <c r="C22" s="2"/>
      <c r="D22" s="2"/>
      <c r="E22" s="2"/>
      <c r="F22" s="2">
        <f t="shared" si="2"/>
        <v>0</v>
      </c>
      <c r="G22" s="2"/>
      <c r="H22" s="2"/>
      <c r="M22" s="37"/>
      <c r="N22" s="13"/>
      <c r="O22" s="13"/>
      <c r="P22" s="13"/>
      <c r="Q22" s="13"/>
      <c r="R22" s="13"/>
      <c r="S22" s="13"/>
      <c r="T22" s="13"/>
      <c r="U22" s="13"/>
      <c r="V22" s="13"/>
      <c r="X22" s="37"/>
      <c r="Y22" s="37"/>
      <c r="Z22" s="37"/>
      <c r="AA22" s="37"/>
      <c r="AB22" s="37"/>
      <c r="AC22" s="37"/>
    </row>
    <row r="23" spans="1:29" ht="12.75">
      <c r="A23" s="3"/>
      <c r="B23" s="3"/>
      <c r="C23" s="2">
        <v>34</v>
      </c>
      <c r="D23" s="2">
        <v>23</v>
      </c>
      <c r="E23" s="2">
        <v>1842</v>
      </c>
      <c r="F23" s="2">
        <f t="shared" si="2"/>
        <v>1387</v>
      </c>
      <c r="G23" s="2">
        <v>455</v>
      </c>
      <c r="H23" s="2">
        <v>761</v>
      </c>
      <c r="I23">
        <v>2</v>
      </c>
      <c r="J23">
        <f>IF(I23=1,'User Input and Results'!B$78,IF(I23=2,'User Input and Results'!B$79,IF(I23=3,'User Input and Results'!B$80,'User Input and Results'!B$81)))</f>
        <v>200</v>
      </c>
      <c r="K23">
        <f>IF(I23=1,'User Input and Results'!C$78,IF(I23=2,'User Input and Results'!C$79,IF(I23=3,'User Input and Results'!C$80,'User Input and Results'!C$81)))</f>
        <v>350</v>
      </c>
      <c r="M23" s="37">
        <f>1/C23</f>
        <v>0.029411764705882353</v>
      </c>
      <c r="N23" s="13">
        <f t="shared" si="3"/>
        <v>0.4782608695652173</v>
      </c>
      <c r="O23" s="13">
        <f t="shared" si="4"/>
        <v>1.9814285714285715</v>
      </c>
      <c r="P23" s="13">
        <f t="shared" si="5"/>
        <v>1.011111111111111</v>
      </c>
      <c r="Q23" s="13">
        <f>(1-FiveYearRepair)*100*'Cost Data and Calculations'!$H23/56000</f>
        <v>0.6794642857142857</v>
      </c>
      <c r="R23" s="13">
        <f>FiveYearRepair*100*'Cost Data and Calculations'!$H23/14000</f>
        <v>2.717857142857143</v>
      </c>
      <c r="S23" s="13">
        <f t="shared" si="6"/>
        <v>1.1347053571428571</v>
      </c>
      <c r="T23" s="13">
        <f>100*'Cost Data and Calculations'!J23/5000</f>
        <v>4</v>
      </c>
      <c r="U23" s="13">
        <f>100*'Cost Data and Calculations'!K23/5000</f>
        <v>7</v>
      </c>
      <c r="V23" s="13">
        <f t="shared" si="7"/>
        <v>6.01</v>
      </c>
      <c r="X23" s="37">
        <f>'Vehicle Counts'!I23*M23</f>
        <v>0.0001866244109240012</v>
      </c>
      <c r="Y23" s="37">
        <f>'Vehicle Counts'!I23*N23</f>
        <v>0.0030346752037207145</v>
      </c>
      <c r="Z23" s="37">
        <f>'Vehicle Counts'!I23*O23</f>
        <v>0.012572619957648641</v>
      </c>
      <c r="AA23" s="37">
        <f>'Vehicle Counts'!I23*P23</f>
        <v>0.006415732526653996</v>
      </c>
      <c r="AB23" s="37">
        <f>'Vehicle Counts'!I23*S23</f>
        <v>0.007199966440869199</v>
      </c>
      <c r="AC23" s="37">
        <f>'Vehicle Counts'!I23*V23</f>
        <v>0.0381348321282104</v>
      </c>
    </row>
    <row r="24" spans="1:29" ht="12.75">
      <c r="A24" s="3"/>
      <c r="B24" s="3"/>
      <c r="C24" s="2">
        <v>25</v>
      </c>
      <c r="D24" s="2">
        <v>17</v>
      </c>
      <c r="E24" s="2">
        <v>1677</v>
      </c>
      <c r="F24" s="2">
        <f t="shared" si="2"/>
        <v>1210</v>
      </c>
      <c r="G24" s="2">
        <v>467</v>
      </c>
      <c r="H24" s="2">
        <v>796</v>
      </c>
      <c r="I24">
        <v>3</v>
      </c>
      <c r="J24">
        <f>IF(I24=1,'User Input and Results'!B$78,IF(I24=2,'User Input and Results'!B$79,IF(I24=3,'User Input and Results'!B$80,'User Input and Results'!B$81)))</f>
        <v>275</v>
      </c>
      <c r="K24">
        <f>IF(I24=1,'User Input and Results'!C$78,IF(I24=2,'User Input and Results'!C$79,IF(I24=3,'User Input and Results'!C$80,'User Input and Results'!C$81)))</f>
        <v>475</v>
      </c>
      <c r="M24" s="37">
        <f>1/C24</f>
        <v>0.04</v>
      </c>
      <c r="N24" s="13">
        <f t="shared" si="3"/>
        <v>0.47058823529411775</v>
      </c>
      <c r="O24" s="13">
        <f t="shared" si="4"/>
        <v>1.7285714285714286</v>
      </c>
      <c r="P24" s="13">
        <f t="shared" si="5"/>
        <v>1.0377777777777777</v>
      </c>
      <c r="Q24" s="13">
        <f>(1-FiveYearRepair)*100*'Cost Data and Calculations'!$H24/56000</f>
        <v>0.7107142857142857</v>
      </c>
      <c r="R24" s="13">
        <f>FiveYearRepair*100*'Cost Data and Calculations'!$H24/14000</f>
        <v>2.842857142857143</v>
      </c>
      <c r="S24" s="13">
        <f t="shared" si="6"/>
        <v>1.1868928571428572</v>
      </c>
      <c r="T24" s="13">
        <f>100*'Cost Data and Calculations'!J24/5000</f>
        <v>5.5</v>
      </c>
      <c r="U24" s="13">
        <f>100*'Cost Data and Calculations'!K24/5000</f>
        <v>9.5</v>
      </c>
      <c r="V24" s="13">
        <f t="shared" si="7"/>
        <v>8.18</v>
      </c>
      <c r="X24" s="37">
        <f>'Vehicle Counts'!I24*M24</f>
        <v>0.0006738615316886843</v>
      </c>
      <c r="Y24" s="37">
        <f>'Vehicle Counts'!I24*N24</f>
        <v>0.007927782725749228</v>
      </c>
      <c r="Z24" s="37">
        <f>'Vehicle Counts'!I24*O24</f>
        <v>0.029120444762261</v>
      </c>
      <c r="AA24" s="37">
        <f>'Vehicle Counts'!I24*P24</f>
        <v>0.017482963072145308</v>
      </c>
      <c r="AB24" s="37">
        <f>'Vehicle Counts'!I24*S24</f>
        <v>0.01999503596661611</v>
      </c>
      <c r="AC24" s="37">
        <f>'Vehicle Counts'!I24*V24</f>
        <v>0.13780468323033593</v>
      </c>
    </row>
    <row r="25" spans="1:29" ht="12.75">
      <c r="A25" s="3"/>
      <c r="B25" s="3"/>
      <c r="C25" s="2">
        <v>28</v>
      </c>
      <c r="D25" s="2">
        <v>20</v>
      </c>
      <c r="E25" s="2">
        <v>1676</v>
      </c>
      <c r="F25" s="2">
        <f t="shared" si="2"/>
        <v>1281</v>
      </c>
      <c r="G25" s="2">
        <v>395</v>
      </c>
      <c r="H25" s="2">
        <v>888</v>
      </c>
      <c r="I25">
        <v>2</v>
      </c>
      <c r="J25">
        <f>IF(I25=1,'User Input and Results'!B$78,IF(I25=2,'User Input and Results'!B$79,IF(I25=3,'User Input and Results'!B$80,'User Input and Results'!B$81)))</f>
        <v>200</v>
      </c>
      <c r="K25">
        <f>IF(I25=1,'User Input and Results'!C$78,IF(I25=2,'User Input and Results'!C$79,IF(I25=3,'User Input and Results'!C$80,'User Input and Results'!C$81)))</f>
        <v>350</v>
      </c>
      <c r="M25" s="37">
        <f>1/C25</f>
        <v>0.03571428571428571</v>
      </c>
      <c r="N25" s="13">
        <f t="shared" si="3"/>
        <v>0.3999999999999999</v>
      </c>
      <c r="O25" s="13">
        <f t="shared" si="4"/>
        <v>1.83</v>
      </c>
      <c r="P25" s="13">
        <f t="shared" si="5"/>
        <v>0.8777777777777778</v>
      </c>
      <c r="Q25" s="13">
        <f>(1-FiveYearRepair)*100*'Cost Data and Calculations'!$H25/56000</f>
        <v>0.7928571428571428</v>
      </c>
      <c r="R25" s="13">
        <f>FiveYearRepair*100*'Cost Data and Calculations'!$H25/14000</f>
        <v>3.1714285714285713</v>
      </c>
      <c r="S25" s="13">
        <f t="shared" si="6"/>
        <v>1.3240714285714283</v>
      </c>
      <c r="T25" s="13">
        <f>100*'Cost Data and Calculations'!J25/5000</f>
        <v>4</v>
      </c>
      <c r="U25" s="13">
        <f>100*'Cost Data and Calculations'!K25/5000</f>
        <v>7</v>
      </c>
      <c r="V25" s="13">
        <f t="shared" si="7"/>
        <v>6.01</v>
      </c>
      <c r="X25" s="37">
        <f>'Vehicle Counts'!I25*M25</f>
        <v>0.0005106444388322894</v>
      </c>
      <c r="Y25" s="37">
        <f>'Vehicle Counts'!I25*N25</f>
        <v>0.0057192177149216405</v>
      </c>
      <c r="Z25" s="37">
        <f>'Vehicle Counts'!I25*O25</f>
        <v>0.02616542104576651</v>
      </c>
      <c r="AA25" s="37">
        <f>'Vehicle Counts'!I25*P25</f>
        <v>0.012550505541078047</v>
      </c>
      <c r="AB25" s="37">
        <f>'Vehicle Counts'!I25*S25</f>
        <v>0.018931631925268293</v>
      </c>
      <c r="AC25" s="37">
        <f>'Vehicle Counts'!I25*V25</f>
        <v>0.08593124616669766</v>
      </c>
    </row>
    <row r="26" spans="1:29" ht="12.75">
      <c r="A26" s="3"/>
      <c r="B26" s="3"/>
      <c r="C26" s="2"/>
      <c r="D26" s="2"/>
      <c r="E26" s="2"/>
      <c r="F26" s="2">
        <f t="shared" si="2"/>
        <v>0</v>
      </c>
      <c r="G26" s="2"/>
      <c r="H26" s="2"/>
      <c r="M26" s="37"/>
      <c r="N26" s="13"/>
      <c r="O26" s="13"/>
      <c r="P26" s="13"/>
      <c r="Q26" s="13"/>
      <c r="R26" s="13"/>
      <c r="S26" s="13"/>
      <c r="T26" s="13"/>
      <c r="U26" s="13"/>
      <c r="V26" s="13"/>
      <c r="X26" s="37"/>
      <c r="Y26" s="37"/>
      <c r="Z26" s="37"/>
      <c r="AA26" s="37"/>
      <c r="AB26" s="37"/>
      <c r="AC26" s="37"/>
    </row>
    <row r="27" spans="1:29" ht="12.75">
      <c r="A27" s="3"/>
      <c r="B27" s="3"/>
      <c r="C27" s="2">
        <v>29</v>
      </c>
      <c r="D27" s="2">
        <v>20</v>
      </c>
      <c r="E27" s="2">
        <v>2024</v>
      </c>
      <c r="F27" s="2">
        <f t="shared" si="2"/>
        <v>1669</v>
      </c>
      <c r="G27" s="2">
        <v>355</v>
      </c>
      <c r="H27" s="2">
        <v>670</v>
      </c>
      <c r="I27">
        <v>2</v>
      </c>
      <c r="J27">
        <f>IF(I27=1,'User Input and Results'!B$78,IF(I27=2,'User Input and Results'!B$79,IF(I27=3,'User Input and Results'!B$80,'User Input and Results'!B$81)))</f>
        <v>200</v>
      </c>
      <c r="K27">
        <f>IF(I27=1,'User Input and Results'!C$78,IF(I27=2,'User Input and Results'!C$79,IF(I27=3,'User Input and Results'!C$80,'User Input and Results'!C$81)))</f>
        <v>350</v>
      </c>
      <c r="M27" s="37">
        <f>1/C27</f>
        <v>0.034482758620689655</v>
      </c>
      <c r="N27" s="13">
        <f t="shared" si="3"/>
        <v>0.44999999999999996</v>
      </c>
      <c r="O27" s="13">
        <f t="shared" si="4"/>
        <v>2.3842857142857143</v>
      </c>
      <c r="P27" s="13">
        <f t="shared" si="5"/>
        <v>0.7888888888888889</v>
      </c>
      <c r="Q27" s="13">
        <f>(1-FiveYearRepair)*100*'Cost Data and Calculations'!$H27/56000</f>
        <v>0.5982142857142857</v>
      </c>
      <c r="R27" s="13">
        <f>FiveYearRepair*100*'Cost Data and Calculations'!$H27/14000</f>
        <v>2.392857142857143</v>
      </c>
      <c r="S27" s="13">
        <f t="shared" si="6"/>
        <v>0.9990178571428571</v>
      </c>
      <c r="T27" s="13">
        <f>100*'Cost Data and Calculations'!J27/5000</f>
        <v>4</v>
      </c>
      <c r="U27" s="13">
        <f>100*'Cost Data and Calculations'!K27/5000</f>
        <v>7</v>
      </c>
      <c r="V27" s="13">
        <f t="shared" si="7"/>
        <v>6.01</v>
      </c>
      <c r="X27" s="37">
        <f>'Vehicle Counts'!I27*M27</f>
        <v>0.0011129829408324224</v>
      </c>
      <c r="Y27" s="37">
        <f>'Vehicle Counts'!I27*N27</f>
        <v>0.014524427377863112</v>
      </c>
      <c r="Z27" s="37">
        <f>'Vehicle Counts'!I27*O27</f>
        <v>0.07695641045604297</v>
      </c>
      <c r="AA27" s="37">
        <f>'Vehicle Counts'!I27*P27</f>
        <v>0.02546257639082175</v>
      </c>
      <c r="AB27" s="37">
        <f>'Vehicle Counts'!I27*S27</f>
        <v>0.0322448051450219</v>
      </c>
      <c r="AC27" s="37">
        <f>'Vehicle Counts'!I27*V27</f>
        <v>0.1939817967576829</v>
      </c>
    </row>
    <row r="28" spans="1:29" ht="12.75">
      <c r="A28" s="3"/>
      <c r="B28" s="3"/>
      <c r="C28" s="2">
        <v>29</v>
      </c>
      <c r="D28" s="2">
        <v>20</v>
      </c>
      <c r="E28" s="2">
        <v>2209</v>
      </c>
      <c r="F28" s="2">
        <f t="shared" si="2"/>
        <v>1854</v>
      </c>
      <c r="G28" s="2">
        <v>355</v>
      </c>
      <c r="H28" s="2">
        <v>821</v>
      </c>
      <c r="I28">
        <v>3</v>
      </c>
      <c r="J28">
        <f>IF(I28=1,'User Input and Results'!B$78,IF(I28=2,'User Input and Results'!B$79,IF(I28=3,'User Input and Results'!B$80,'User Input and Results'!B$81)))</f>
        <v>275</v>
      </c>
      <c r="K28">
        <f>IF(I28=1,'User Input and Results'!C$78,IF(I28=2,'User Input and Results'!C$79,IF(I28=3,'User Input and Results'!C$80,'User Input and Results'!C$81)))</f>
        <v>475</v>
      </c>
      <c r="M28" s="37">
        <f>1/C28</f>
        <v>0.034482758620689655</v>
      </c>
      <c r="N28" s="13">
        <f t="shared" si="3"/>
        <v>0.44999999999999996</v>
      </c>
      <c r="O28" s="13">
        <f t="shared" si="4"/>
        <v>2.6485714285714286</v>
      </c>
      <c r="P28" s="13">
        <f t="shared" si="5"/>
        <v>0.7888888888888889</v>
      </c>
      <c r="Q28" s="13">
        <f>(1-FiveYearRepair)*100*'Cost Data and Calculations'!$H28/56000</f>
        <v>0.7330357142857142</v>
      </c>
      <c r="R28" s="13">
        <f>FiveYearRepair*100*'Cost Data and Calculations'!$H28/14000</f>
        <v>2.932142857142857</v>
      </c>
      <c r="S28" s="13">
        <f t="shared" si="6"/>
        <v>1.2241696428571427</v>
      </c>
      <c r="T28" s="13">
        <f>100*'Cost Data and Calculations'!J28/5000</f>
        <v>5.5</v>
      </c>
      <c r="U28" s="13">
        <f>100*'Cost Data and Calculations'!K28/5000</f>
        <v>9.5</v>
      </c>
      <c r="V28" s="13">
        <f t="shared" si="7"/>
        <v>8.18</v>
      </c>
      <c r="X28" s="37">
        <f>'Vehicle Counts'!I28*M28</f>
        <v>0.0011388908572698515</v>
      </c>
      <c r="Y28" s="37">
        <f>'Vehicle Counts'!I28*N28</f>
        <v>0.01486252568737156</v>
      </c>
      <c r="Z28" s="37">
        <f>'Vehicle Counts'!I28*O28</f>
        <v>0.08747657975995835</v>
      </c>
      <c r="AA28" s="37">
        <f>'Vehicle Counts'!I28*P28</f>
        <v>0.02605529194576249</v>
      </c>
      <c r="AB28" s="37">
        <f>'Vehicle Counts'!I28*S28</f>
        <v>0.04043167280592168</v>
      </c>
      <c r="AC28" s="37">
        <f>'Vehicle Counts'!I28*V28</f>
        <v>0.27016768916155415</v>
      </c>
    </row>
    <row r="29" spans="1:29" ht="12.75">
      <c r="A29" s="3"/>
      <c r="B29" s="3"/>
      <c r="C29" s="2">
        <v>27</v>
      </c>
      <c r="D29" s="2">
        <v>18</v>
      </c>
      <c r="E29" s="2">
        <v>2606</v>
      </c>
      <c r="F29" s="2">
        <f t="shared" si="2"/>
        <v>2139</v>
      </c>
      <c r="G29" s="2">
        <v>467</v>
      </c>
      <c r="H29" s="2">
        <v>1038</v>
      </c>
      <c r="I29">
        <v>4</v>
      </c>
      <c r="J29">
        <f>IF(I29=1,'User Input and Results'!B$78,IF(I29=2,'User Input and Results'!B$79,IF(I29=3,'User Input and Results'!B$80,'User Input and Results'!B$81)))</f>
        <v>325</v>
      </c>
      <c r="K29">
        <f>IF(I29=1,'User Input and Results'!C$78,IF(I29=2,'User Input and Results'!C$79,IF(I29=3,'User Input and Results'!C$80,'User Input and Results'!C$81)))</f>
        <v>575</v>
      </c>
      <c r="M29" s="37">
        <f>1/C29</f>
        <v>0.037037037037037035</v>
      </c>
      <c r="N29" s="13">
        <f t="shared" si="3"/>
        <v>0.5</v>
      </c>
      <c r="O29" s="13">
        <f t="shared" si="4"/>
        <v>3.0557142857142856</v>
      </c>
      <c r="P29" s="13">
        <f t="shared" si="5"/>
        <v>1.0377777777777777</v>
      </c>
      <c r="Q29" s="13">
        <f>(1-FiveYearRepair)*100*'Cost Data and Calculations'!$H29/56000</f>
        <v>0.9267857142857143</v>
      </c>
      <c r="R29" s="13">
        <f>FiveYearRepair*100*'Cost Data and Calculations'!$H29/14000</f>
        <v>3.7071428571428573</v>
      </c>
      <c r="S29" s="13">
        <f t="shared" si="6"/>
        <v>1.547732142857143</v>
      </c>
      <c r="T29" s="13">
        <f>100*'Cost Data and Calculations'!J29/5000</f>
        <v>6.5</v>
      </c>
      <c r="U29" s="13">
        <f>100*'Cost Data and Calculations'!K29/5000</f>
        <v>11.5</v>
      </c>
      <c r="V29" s="13">
        <f t="shared" si="7"/>
        <v>9.85</v>
      </c>
      <c r="X29" s="37">
        <f>'Vehicle Counts'!I29*M29</f>
        <v>0.00047703465186377773</v>
      </c>
      <c r="Y29" s="37">
        <f>'Vehicle Counts'!I29*N29</f>
        <v>0.0064399678001609995</v>
      </c>
      <c r="Z29" s="37">
        <f>'Vehicle Counts'!I29*O29</f>
        <v>0.039357403212983935</v>
      </c>
      <c r="AA29" s="37">
        <f>'Vehicle Counts'!I29*P29</f>
        <v>0.01336651094522305</v>
      </c>
      <c r="AB29" s="37">
        <f>'Vehicle Counts'!I29*S29</f>
        <v>0.01993469032654837</v>
      </c>
      <c r="AC29" s="37">
        <f>'Vehicle Counts'!I29*V29</f>
        <v>0.1268673656631717</v>
      </c>
    </row>
    <row r="30" spans="1:29" ht="12.75">
      <c r="A30" s="3"/>
      <c r="B30" s="3"/>
      <c r="C30" s="2">
        <v>29</v>
      </c>
      <c r="D30" s="2">
        <v>19</v>
      </c>
      <c r="E30" s="2">
        <v>2226</v>
      </c>
      <c r="F30" s="2">
        <f t="shared" si="2"/>
        <v>1871</v>
      </c>
      <c r="G30" s="2">
        <v>355</v>
      </c>
      <c r="H30" s="2">
        <v>785</v>
      </c>
      <c r="I30">
        <v>2</v>
      </c>
      <c r="J30">
        <f>IF(I30=1,'User Input and Results'!B$78,IF(I30=2,'User Input and Results'!B$79,IF(I30=3,'User Input and Results'!B$80,'User Input and Results'!B$81)))</f>
        <v>200</v>
      </c>
      <c r="K30">
        <f>IF(I30=1,'User Input and Results'!C$78,IF(I30=2,'User Input and Results'!C$79,IF(I30=3,'User Input and Results'!C$80,'User Input and Results'!C$81)))</f>
        <v>350</v>
      </c>
      <c r="M30" s="37">
        <f>1/C30</f>
        <v>0.034482758620689655</v>
      </c>
      <c r="N30" s="13">
        <f t="shared" si="3"/>
        <v>0.5263157894736843</v>
      </c>
      <c r="O30" s="13">
        <f t="shared" si="4"/>
        <v>2.672857142857143</v>
      </c>
      <c r="P30" s="13">
        <f t="shared" si="5"/>
        <v>0.7888888888888889</v>
      </c>
      <c r="Q30" s="13">
        <f>(1-FiveYearRepair)*100*'Cost Data and Calculations'!$H30/56000</f>
        <v>0.7008928571428571</v>
      </c>
      <c r="R30" s="13">
        <f>FiveYearRepair*100*'Cost Data and Calculations'!$H30/14000</f>
        <v>2.8035714285714284</v>
      </c>
      <c r="S30" s="13">
        <f t="shared" si="6"/>
        <v>1.1704910714285712</v>
      </c>
      <c r="T30" s="13">
        <f>100*'Cost Data and Calculations'!J30/5000</f>
        <v>4</v>
      </c>
      <c r="U30" s="13">
        <f>100*'Cost Data and Calculations'!K30/5000</f>
        <v>7</v>
      </c>
      <c r="V30" s="13">
        <f t="shared" si="7"/>
        <v>6.01</v>
      </c>
      <c r="X30" s="37">
        <f>'Vehicle Counts'!I30*M30</f>
        <v>0.0005358708838639715</v>
      </c>
      <c r="Y30" s="37">
        <f>'Vehicle Counts'!I30*N30</f>
        <v>0.008179081911607988</v>
      </c>
      <c r="Z30" s="37">
        <f>'Vehicle Counts'!I30*O30</f>
        <v>0.04153688326796462</v>
      </c>
      <c r="AA30" s="37">
        <f>'Vehicle Counts'!I30*P30</f>
        <v>0.012259534998621304</v>
      </c>
      <c r="AB30" s="37">
        <f>'Vehicle Counts'!I30*S30</f>
        <v>0.01818973046503815</v>
      </c>
      <c r="AC30" s="37">
        <f>'Vehicle Counts'!I30*V30</f>
        <v>0.0933969363486516</v>
      </c>
    </row>
    <row r="31" spans="1:29" ht="12.75">
      <c r="A31" s="3"/>
      <c r="B31" s="3"/>
      <c r="C31" s="2"/>
      <c r="D31" s="2"/>
      <c r="E31" s="2"/>
      <c r="F31" s="2">
        <f t="shared" si="2"/>
        <v>0</v>
      </c>
      <c r="G31" s="2"/>
      <c r="H31" s="2"/>
      <c r="M31" s="37"/>
      <c r="N31" s="13"/>
      <c r="O31" s="13"/>
      <c r="P31" s="13"/>
      <c r="Q31" s="13"/>
      <c r="R31" s="13"/>
      <c r="S31" s="13"/>
      <c r="T31" s="13"/>
      <c r="U31" s="13"/>
      <c r="V31" s="13"/>
      <c r="X31" s="37"/>
      <c r="Y31" s="37"/>
      <c r="Z31" s="37"/>
      <c r="AA31" s="37"/>
      <c r="AB31" s="37"/>
      <c r="AC31" s="37"/>
    </row>
    <row r="32" spans="1:29" ht="12.75">
      <c r="A32" s="3"/>
      <c r="B32" s="3"/>
      <c r="C32" s="2">
        <v>27</v>
      </c>
      <c r="D32" s="2">
        <v>18</v>
      </c>
      <c r="E32" s="2">
        <v>2558</v>
      </c>
      <c r="F32" s="2">
        <f t="shared" si="2"/>
        <v>2073</v>
      </c>
      <c r="G32" s="2">
        <v>485</v>
      </c>
      <c r="H32" s="2">
        <v>987</v>
      </c>
      <c r="I32">
        <v>4</v>
      </c>
      <c r="J32">
        <f>IF(I32=1,'User Input and Results'!B$78,IF(I32=2,'User Input and Results'!B$79,IF(I32=3,'User Input and Results'!B$80,'User Input and Results'!B$81)))</f>
        <v>325</v>
      </c>
      <c r="K32">
        <f>IF(I32=1,'User Input and Results'!C$78,IF(I32=2,'User Input and Results'!C$79,IF(I32=3,'User Input and Results'!C$80,'User Input and Results'!C$81)))</f>
        <v>575</v>
      </c>
      <c r="M32" s="37">
        <f>1/C32</f>
        <v>0.037037037037037035</v>
      </c>
      <c r="N32" s="13">
        <f t="shared" si="3"/>
        <v>0.5</v>
      </c>
      <c r="O32" s="13">
        <f t="shared" si="4"/>
        <v>2.9614285714285713</v>
      </c>
      <c r="P32" s="13">
        <f t="shared" si="5"/>
        <v>1.0777777777777777</v>
      </c>
      <c r="Q32" s="13">
        <f>(1-FiveYearRepair)*100*'Cost Data and Calculations'!$H32/56000</f>
        <v>0.88125</v>
      </c>
      <c r="R32" s="13">
        <f>FiveYearRepair*100*'Cost Data and Calculations'!$H32/14000</f>
        <v>3.525</v>
      </c>
      <c r="S32" s="13">
        <f t="shared" si="6"/>
        <v>1.4716874999999998</v>
      </c>
      <c r="T32" s="13">
        <f>100*'Cost Data and Calculations'!J32/5000</f>
        <v>6.5</v>
      </c>
      <c r="U32" s="13">
        <f>100*'Cost Data and Calculations'!K32/5000</f>
        <v>11.5</v>
      </c>
      <c r="V32" s="13">
        <f t="shared" si="7"/>
        <v>9.85</v>
      </c>
      <c r="X32" s="37">
        <f>'Vehicle Counts'!I32*M32</f>
        <v>0.00044429422836423006</v>
      </c>
      <c r="Y32" s="37">
        <f>'Vehicle Counts'!I32*N32</f>
        <v>0.005997972082917106</v>
      </c>
      <c r="Z32" s="37">
        <f>'Vehicle Counts'!I32*O32</f>
        <v>0.03552513179396331</v>
      </c>
      <c r="AA32" s="37">
        <f>'Vehicle Counts'!I32*P32</f>
        <v>0.012928962045399095</v>
      </c>
      <c r="AB32" s="37">
        <f>'Vehicle Counts'!I32*S32</f>
        <v>0.017654281079556137</v>
      </c>
      <c r="AC32" s="37">
        <f>'Vehicle Counts'!I32*V32</f>
        <v>0.11816005003346698</v>
      </c>
    </row>
    <row r="33" spans="1:29" ht="12.75">
      <c r="A33" s="3"/>
      <c r="B33" s="3"/>
      <c r="C33" s="2">
        <v>27</v>
      </c>
      <c r="D33" s="2">
        <v>18</v>
      </c>
      <c r="E33" s="2">
        <v>2503</v>
      </c>
      <c r="F33" s="2">
        <f t="shared" si="2"/>
        <v>2026</v>
      </c>
      <c r="G33" s="2">
        <v>477</v>
      </c>
      <c r="H33" s="2">
        <v>1033</v>
      </c>
      <c r="I33">
        <v>4</v>
      </c>
      <c r="J33">
        <f>IF(I33=1,'User Input and Results'!B$78,IF(I33=2,'User Input and Results'!B$79,IF(I33=3,'User Input and Results'!B$80,'User Input and Results'!B$81)))</f>
        <v>325</v>
      </c>
      <c r="K33">
        <f>IF(I33=1,'User Input and Results'!C$78,IF(I33=2,'User Input and Results'!C$79,IF(I33=3,'User Input and Results'!C$80,'User Input and Results'!C$81)))</f>
        <v>575</v>
      </c>
      <c r="M33" s="37">
        <f>1/C33</f>
        <v>0.037037037037037035</v>
      </c>
      <c r="N33" s="13">
        <f t="shared" si="3"/>
        <v>0.5</v>
      </c>
      <c r="O33" s="13">
        <f t="shared" si="4"/>
        <v>2.894285714285714</v>
      </c>
      <c r="P33" s="13">
        <f t="shared" si="5"/>
        <v>1.06</v>
      </c>
      <c r="Q33" s="13">
        <f>(1-FiveYearRepair)*100*'Cost Data and Calculations'!$H33/56000</f>
        <v>0.9223214285714286</v>
      </c>
      <c r="R33" s="13">
        <f>FiveYearRepair*100*'Cost Data and Calculations'!$H33/14000</f>
        <v>3.6892857142857145</v>
      </c>
      <c r="S33" s="13">
        <f t="shared" si="6"/>
        <v>1.5402767857142856</v>
      </c>
      <c r="T33" s="13">
        <f>100*'Cost Data and Calculations'!J33/5000</f>
        <v>6.5</v>
      </c>
      <c r="U33" s="13">
        <f>100*'Cost Data and Calculations'!K33/5000</f>
        <v>11.5</v>
      </c>
      <c r="V33" s="13">
        <f t="shared" si="7"/>
        <v>9.85</v>
      </c>
      <c r="X33" s="37">
        <f>'Vehicle Counts'!I33*M33</f>
        <v>6.714119320202996E-05</v>
      </c>
      <c r="Y33" s="37">
        <f>'Vehicle Counts'!I33*N33</f>
        <v>0.0009064061082274046</v>
      </c>
      <c r="Z33" s="37">
        <f>'Vehicle Counts'!I33*O33</f>
        <v>0.005246796500767776</v>
      </c>
      <c r="AA33" s="37">
        <f>'Vehicle Counts'!I33*P33</f>
        <v>0.0019215809494420978</v>
      </c>
      <c r="AB33" s="37">
        <f>'Vehicle Counts'!I33*S33</f>
        <v>0.0027922325738646034</v>
      </c>
      <c r="AC33" s="37">
        <f>'Vehicle Counts'!I33*V33</f>
        <v>0.01785620033207987</v>
      </c>
    </row>
    <row r="34" spans="1:29" ht="12.75">
      <c r="A34" s="3"/>
      <c r="B34" s="3"/>
      <c r="C34" s="2">
        <v>27</v>
      </c>
      <c r="D34" s="2">
        <v>18</v>
      </c>
      <c r="E34" s="2">
        <v>2730</v>
      </c>
      <c r="F34" s="2">
        <f t="shared" si="2"/>
        <v>2225</v>
      </c>
      <c r="G34" s="2">
        <v>505</v>
      </c>
      <c r="H34" s="2">
        <v>1033</v>
      </c>
      <c r="I34">
        <v>4</v>
      </c>
      <c r="J34">
        <f>IF(I34=1,'User Input and Results'!B$78,IF(I34=2,'User Input and Results'!B$79,IF(I34=3,'User Input and Results'!B$80,'User Input and Results'!B$81)))</f>
        <v>325</v>
      </c>
      <c r="K34">
        <f>IF(I34=1,'User Input and Results'!C$78,IF(I34=2,'User Input and Results'!C$79,IF(I34=3,'User Input and Results'!C$80,'User Input and Results'!C$81)))</f>
        <v>575</v>
      </c>
      <c r="M34" s="37">
        <f>1/C34</f>
        <v>0.037037037037037035</v>
      </c>
      <c r="N34" s="13">
        <f t="shared" si="3"/>
        <v>0.5</v>
      </c>
      <c r="O34" s="13">
        <f t="shared" si="4"/>
        <v>3.1785714285714284</v>
      </c>
      <c r="P34" s="13">
        <f t="shared" si="5"/>
        <v>1.1222222222222222</v>
      </c>
      <c r="Q34" s="13">
        <f>(1-FiveYearRepair)*100*'Cost Data and Calculations'!$H34/56000</f>
        <v>0.9223214285714286</v>
      </c>
      <c r="R34" s="13">
        <f>FiveYearRepair*100*'Cost Data and Calculations'!$H34/14000</f>
        <v>3.6892857142857145</v>
      </c>
      <c r="S34" s="13">
        <f t="shared" si="6"/>
        <v>1.5402767857142856</v>
      </c>
      <c r="T34" s="13">
        <f>100*'Cost Data and Calculations'!J34/5000</f>
        <v>6.5</v>
      </c>
      <c r="U34" s="13">
        <f>100*'Cost Data and Calculations'!K34/5000</f>
        <v>11.5</v>
      </c>
      <c r="V34" s="13">
        <f t="shared" si="7"/>
        <v>9.85</v>
      </c>
      <c r="X34" s="37">
        <f>'Vehicle Counts'!I34*M34</f>
        <v>0.00015263533215404532</v>
      </c>
      <c r="Y34" s="37">
        <f>'Vehicle Counts'!I34*N34</f>
        <v>0.002060576984079612</v>
      </c>
      <c r="Z34" s="37">
        <f>'Vehicle Counts'!I34*O34</f>
        <v>0.013099382255934674</v>
      </c>
      <c r="AA34" s="37">
        <f>'Vehicle Counts'!I34*P34</f>
        <v>0.004624850564267573</v>
      </c>
      <c r="AB34" s="37">
        <f>'Vehicle Counts'!I34*S34</f>
        <v>0.006347717787509962</v>
      </c>
      <c r="AC34" s="37">
        <f>'Vehicle Counts'!I34*V34</f>
        <v>0.04059336658636835</v>
      </c>
    </row>
    <row r="35" spans="1:29" ht="12.75">
      <c r="A35" s="3"/>
      <c r="B35" s="3"/>
      <c r="C35" s="2"/>
      <c r="D35" s="2"/>
      <c r="E35" s="2"/>
      <c r="F35" s="2">
        <f t="shared" si="2"/>
        <v>0</v>
      </c>
      <c r="G35" s="2"/>
      <c r="H35" s="2"/>
      <c r="M35" s="37"/>
      <c r="N35" s="13"/>
      <c r="O35" s="13"/>
      <c r="P35" s="13"/>
      <c r="Q35" s="13"/>
      <c r="R35" s="13"/>
      <c r="S35" s="13"/>
      <c r="T35" s="13"/>
      <c r="U35" s="13"/>
      <c r="V35" s="13"/>
      <c r="X35" s="37"/>
      <c r="Y35" s="37"/>
      <c r="Z35" s="37"/>
      <c r="AA35" s="37"/>
      <c r="AB35" s="37"/>
      <c r="AC35" s="37"/>
    </row>
    <row r="36" spans="1:29" ht="12.75">
      <c r="A36" s="3"/>
      <c r="B36" s="3"/>
      <c r="C36" s="2">
        <v>30</v>
      </c>
      <c r="D36" s="2">
        <v>19</v>
      </c>
      <c r="E36" s="2">
        <v>2362</v>
      </c>
      <c r="F36" s="2">
        <f t="shared" si="2"/>
        <v>1967</v>
      </c>
      <c r="G36" s="2">
        <v>395</v>
      </c>
      <c r="H36" s="2">
        <v>782</v>
      </c>
      <c r="I36">
        <v>2</v>
      </c>
      <c r="J36">
        <f>IF(I36=1,'User Input and Results'!B$78,IF(I36=2,'User Input and Results'!B$79,IF(I36=3,'User Input and Results'!B$80,'User Input and Results'!B$81)))</f>
        <v>200</v>
      </c>
      <c r="K36">
        <f>IF(I36=1,'User Input and Results'!C$78,IF(I36=2,'User Input and Results'!C$79,IF(I36=3,'User Input and Results'!C$80,'User Input and Results'!C$81)))</f>
        <v>350</v>
      </c>
      <c r="M36" s="37">
        <f aca="true" t="shared" si="8" ref="M36:M42">1/C36</f>
        <v>0.03333333333333333</v>
      </c>
      <c r="N36" s="13">
        <f t="shared" si="3"/>
        <v>0.5789473684210527</v>
      </c>
      <c r="O36" s="13">
        <f t="shared" si="4"/>
        <v>2.81</v>
      </c>
      <c r="P36" s="13">
        <f t="shared" si="5"/>
        <v>0.8777777777777778</v>
      </c>
      <c r="Q36" s="13">
        <f>(1-FiveYearRepair)*100*'Cost Data and Calculations'!$H36/56000</f>
        <v>0.6982142857142857</v>
      </c>
      <c r="R36" s="13">
        <f>FiveYearRepair*100*'Cost Data and Calculations'!$H36/14000</f>
        <v>2.7928571428571427</v>
      </c>
      <c r="S36" s="13">
        <f t="shared" si="6"/>
        <v>1.166017857142857</v>
      </c>
      <c r="T36" s="13">
        <f>100*'Cost Data and Calculations'!J36/5000</f>
        <v>4</v>
      </c>
      <c r="U36" s="13">
        <f>100*'Cost Data and Calculations'!K36/5000</f>
        <v>7</v>
      </c>
      <c r="V36" s="13">
        <f t="shared" si="7"/>
        <v>6.01</v>
      </c>
      <c r="X36" s="37">
        <f>'Vehicle Counts'!I36*M36</f>
        <v>0.00028404803105987653</v>
      </c>
      <c r="Y36" s="37">
        <f>'Vehicle Counts'!I36*N36</f>
        <v>0.0049334658026189086</v>
      </c>
      <c r="Z36" s="37">
        <f>'Vehicle Counts'!I36*O36</f>
        <v>0.023945249018347593</v>
      </c>
      <c r="AA36" s="37">
        <f>'Vehicle Counts'!I36*P36</f>
        <v>0.007479931484576749</v>
      </c>
      <c r="AB36" s="37">
        <f>'Vehicle Counts'!I36*S36</f>
        <v>0.009936152295062547</v>
      </c>
      <c r="AC36" s="37">
        <f>'Vehicle Counts'!I36*V36</f>
        <v>0.051213860000095736</v>
      </c>
    </row>
    <row r="37" spans="1:29" ht="12.75">
      <c r="A37" s="3"/>
      <c r="B37" s="3"/>
      <c r="C37" s="2">
        <v>32</v>
      </c>
      <c r="D37" s="2">
        <v>24</v>
      </c>
      <c r="E37" s="2">
        <v>2046</v>
      </c>
      <c r="F37" s="2">
        <f t="shared" si="2"/>
        <v>1755</v>
      </c>
      <c r="G37" s="2">
        <v>291</v>
      </c>
      <c r="H37" s="2">
        <v>664</v>
      </c>
      <c r="I37">
        <v>1</v>
      </c>
      <c r="J37">
        <f>IF(I37=1,'User Input and Results'!B$78,IF(I37=2,'User Input and Results'!B$79,IF(I37=3,'User Input and Results'!B$80,'User Input and Results'!B$81)))</f>
        <v>150</v>
      </c>
      <c r="K37">
        <f>IF(I37=1,'User Input and Results'!C$78,IF(I37=2,'User Input and Results'!C$79,IF(I37=3,'User Input and Results'!C$80,'User Input and Results'!C$81)))</f>
        <v>275</v>
      </c>
      <c r="M37" s="37">
        <f t="shared" si="8"/>
        <v>0.03125</v>
      </c>
      <c r="N37" s="13">
        <f t="shared" si="3"/>
        <v>0.33333333333333326</v>
      </c>
      <c r="O37" s="13">
        <f t="shared" si="4"/>
        <v>2.507142857142857</v>
      </c>
      <c r="P37" s="13">
        <f t="shared" si="5"/>
        <v>0.6466666666666666</v>
      </c>
      <c r="Q37" s="13">
        <f>(1-FiveYearRepair)*100*'Cost Data and Calculations'!$H37/56000</f>
        <v>0.5928571428571429</v>
      </c>
      <c r="R37" s="13">
        <f>FiveYearRepair*100*'Cost Data and Calculations'!$H37/14000</f>
        <v>2.3714285714285714</v>
      </c>
      <c r="S37" s="13">
        <f t="shared" si="6"/>
        <v>0.9900714285714285</v>
      </c>
      <c r="T37" s="13">
        <f>100*'Cost Data and Calculations'!J37/5000</f>
        <v>3</v>
      </c>
      <c r="U37" s="13">
        <f>100*'Cost Data and Calculations'!K37/5000</f>
        <v>5.5</v>
      </c>
      <c r="V37" s="13">
        <f t="shared" si="7"/>
        <v>4.675</v>
      </c>
      <c r="X37" s="37">
        <f>'Vehicle Counts'!I37*M37</f>
        <v>0.0015575162749613145</v>
      </c>
      <c r="Y37" s="37">
        <f>'Vehicle Counts'!I37*N37</f>
        <v>0.016613506932920685</v>
      </c>
      <c r="Z37" s="37">
        <f>'Vehicle Counts'!I37*O37</f>
        <v>0.12495730571689631</v>
      </c>
      <c r="AA37" s="37">
        <f>'Vehicle Counts'!I37*P37</f>
        <v>0.03223020344986613</v>
      </c>
      <c r="AB37" s="37">
        <f>'Vehicle Counts'!I37*S37</f>
        <v>0.04934567562797435</v>
      </c>
      <c r="AC37" s="37">
        <f>'Vehicle Counts'!I37*V37</f>
        <v>0.23300443473421265</v>
      </c>
    </row>
    <row r="38" spans="1:29" ht="12.75">
      <c r="A38" s="3"/>
      <c r="B38" s="3"/>
      <c r="C38" s="2">
        <v>28</v>
      </c>
      <c r="D38" s="2">
        <v>19</v>
      </c>
      <c r="E38" s="2">
        <v>3603</v>
      </c>
      <c r="F38" s="2">
        <f aca="true" t="shared" si="9" ref="F38:F69">E38-G38</f>
        <v>2314</v>
      </c>
      <c r="G38" s="2">
        <v>1289</v>
      </c>
      <c r="H38" s="2">
        <v>1294</v>
      </c>
      <c r="I38">
        <v>4</v>
      </c>
      <c r="J38">
        <f>IF(I38=1,'User Input and Results'!B$78,IF(I38=2,'User Input and Results'!B$79,IF(I38=3,'User Input and Results'!B$80,'User Input and Results'!B$81)))</f>
        <v>325</v>
      </c>
      <c r="K38">
        <f>IF(I38=1,'User Input and Results'!C$78,IF(I38=2,'User Input and Results'!C$79,IF(I38=3,'User Input and Results'!C$80,'User Input and Results'!C$81)))</f>
        <v>575</v>
      </c>
      <c r="M38" s="37">
        <f t="shared" si="8"/>
        <v>0.03571428571428571</v>
      </c>
      <c r="N38" s="13">
        <f t="shared" si="3"/>
        <v>0.4736842105263157</v>
      </c>
      <c r="O38" s="13">
        <f t="shared" si="4"/>
        <v>3.3057142857142856</v>
      </c>
      <c r="P38" s="13">
        <f t="shared" si="5"/>
        <v>2.8644444444444446</v>
      </c>
      <c r="Q38" s="13">
        <f>(1-FiveYearRepair)*100*'Cost Data and Calculations'!$H38/56000</f>
        <v>1.1553571428571427</v>
      </c>
      <c r="R38" s="13">
        <f>FiveYearRepair*100*'Cost Data and Calculations'!$H38/14000</f>
        <v>4.621428571428571</v>
      </c>
      <c r="S38" s="13">
        <f t="shared" si="6"/>
        <v>1.9294464285714283</v>
      </c>
      <c r="T38" s="13">
        <f>100*'Cost Data and Calculations'!J38/5000</f>
        <v>6.5</v>
      </c>
      <c r="U38" s="13">
        <f>100*'Cost Data and Calculations'!K38/5000</f>
        <v>11.5</v>
      </c>
      <c r="V38" s="13">
        <f t="shared" si="7"/>
        <v>9.85</v>
      </c>
      <c r="X38" s="37">
        <f>'Vehicle Counts'!I38*M38</f>
        <v>0.00021020497979597178</v>
      </c>
      <c r="Y38" s="37">
        <f>'Vehicle Counts'!I38*N38</f>
        <v>0.0027879818372939414</v>
      </c>
      <c r="Z38" s="37">
        <f>'Vehicle Counts'!I38*O38</f>
        <v>0.01945657292991515</v>
      </c>
      <c r="AA38" s="37">
        <f>'Vehicle Counts'!I38*P38</f>
        <v>0.016859373623991588</v>
      </c>
      <c r="AB38" s="37">
        <f>'Vehicle Counts'!I38*S38</f>
        <v>0.011356218930987478</v>
      </c>
      <c r="AC38" s="37">
        <f>'Vehicle Counts'!I38*V38</f>
        <v>0.05797453342772902</v>
      </c>
    </row>
    <row r="39" spans="1:29" ht="12.75">
      <c r="A39" s="3"/>
      <c r="B39" s="3"/>
      <c r="C39" s="2">
        <v>33</v>
      </c>
      <c r="D39" s="2">
        <v>29</v>
      </c>
      <c r="E39" s="2">
        <v>2136</v>
      </c>
      <c r="F39" s="2">
        <f t="shared" si="9"/>
        <v>1889</v>
      </c>
      <c r="G39" s="2">
        <v>247</v>
      </c>
      <c r="H39" s="2">
        <v>623</v>
      </c>
      <c r="I39">
        <v>1</v>
      </c>
      <c r="J39">
        <f>IF(I39=1,'User Input and Results'!B$78,IF(I39=2,'User Input and Results'!B$79,IF(I39=3,'User Input and Results'!B$80,'User Input and Results'!B$81)))</f>
        <v>150</v>
      </c>
      <c r="K39">
        <f>IF(I39=1,'User Input and Results'!C$78,IF(I39=2,'User Input and Results'!C$79,IF(I39=3,'User Input and Results'!C$80,'User Input and Results'!C$81)))</f>
        <v>275</v>
      </c>
      <c r="M39" s="37">
        <f t="shared" si="8"/>
        <v>0.030303030303030304</v>
      </c>
      <c r="N39" s="13">
        <f t="shared" si="3"/>
        <v>0.13793103448275867</v>
      </c>
      <c r="O39" s="13">
        <f t="shared" si="4"/>
        <v>2.6985714285714284</v>
      </c>
      <c r="P39" s="13">
        <f t="shared" si="5"/>
        <v>0.5488888888888889</v>
      </c>
      <c r="Q39" s="13">
        <f>(1-FiveYearRepair)*100*'Cost Data and Calculations'!$H39/56000</f>
        <v>0.55625</v>
      </c>
      <c r="R39" s="13">
        <f>FiveYearRepair*100*'Cost Data and Calculations'!$H39/14000</f>
        <v>2.225</v>
      </c>
      <c r="S39" s="13">
        <f t="shared" si="6"/>
        <v>0.9289375</v>
      </c>
      <c r="T39" s="13">
        <f>100*'Cost Data and Calculations'!J39/5000</f>
        <v>3</v>
      </c>
      <c r="U39" s="13">
        <f>100*'Cost Data and Calculations'!K39/5000</f>
        <v>5.5</v>
      </c>
      <c r="V39" s="13">
        <f t="shared" si="7"/>
        <v>4.675</v>
      </c>
      <c r="X39" s="37">
        <f>'Vehicle Counts'!I39*M39</f>
        <v>0.00028765117733124923</v>
      </c>
      <c r="Y39" s="37">
        <f>'Vehicle Counts'!I39*N39</f>
        <v>0.001309308807162928</v>
      </c>
      <c r="Z39" s="37">
        <f>'Vehicle Counts'!I39*O39</f>
        <v>0.0256161592018544</v>
      </c>
      <c r="AA39" s="37">
        <f>'Vehicle Counts'!I39*P39</f>
        <v>0.005210321658726693</v>
      </c>
      <c r="AB39" s="37">
        <f>'Vehicle Counts'!I39*S39</f>
        <v>0.00881792886289086</v>
      </c>
      <c r="AC39" s="37">
        <f>'Vehicle Counts'!I39*V39</f>
        <v>0.04437738538277847</v>
      </c>
    </row>
    <row r="40" spans="1:29" ht="12.75">
      <c r="A40" s="3"/>
      <c r="B40" s="3"/>
      <c r="C40" s="2">
        <v>29</v>
      </c>
      <c r="D40" s="2">
        <v>19</v>
      </c>
      <c r="E40" s="2">
        <v>2531</v>
      </c>
      <c r="F40" s="2">
        <f t="shared" si="9"/>
        <v>2064</v>
      </c>
      <c r="G40" s="2">
        <v>467</v>
      </c>
      <c r="H40" s="2">
        <v>771</v>
      </c>
      <c r="I40">
        <v>3</v>
      </c>
      <c r="J40">
        <f>IF(I40=1,'User Input and Results'!B$78,IF(I40=2,'User Input and Results'!B$79,IF(I40=3,'User Input and Results'!B$80,'User Input and Results'!B$81)))</f>
        <v>275</v>
      </c>
      <c r="K40">
        <f>IF(I40=1,'User Input and Results'!C$78,IF(I40=2,'User Input and Results'!C$79,IF(I40=3,'User Input and Results'!C$80,'User Input and Results'!C$81)))</f>
        <v>475</v>
      </c>
      <c r="M40" s="37">
        <f t="shared" si="8"/>
        <v>0.034482758620689655</v>
      </c>
      <c r="N40" s="13">
        <f t="shared" si="3"/>
        <v>0.5263157894736843</v>
      </c>
      <c r="O40" s="13">
        <f t="shared" si="4"/>
        <v>2.9485714285714284</v>
      </c>
      <c r="P40" s="13">
        <f t="shared" si="5"/>
        <v>1.0377777777777777</v>
      </c>
      <c r="Q40" s="13">
        <f>(1-FiveYearRepair)*100*'Cost Data and Calculations'!$H40/56000</f>
        <v>0.6883928571428571</v>
      </c>
      <c r="R40" s="13">
        <f>FiveYearRepair*100*'Cost Data and Calculations'!$H40/14000</f>
        <v>2.7535714285714286</v>
      </c>
      <c r="S40" s="13">
        <f t="shared" si="6"/>
        <v>1.1496160714285713</v>
      </c>
      <c r="T40" s="13">
        <f>100*'Cost Data and Calculations'!J40/5000</f>
        <v>5.5</v>
      </c>
      <c r="U40" s="13">
        <f>100*'Cost Data and Calculations'!K40/5000</f>
        <v>9.5</v>
      </c>
      <c r="V40" s="13">
        <f t="shared" si="7"/>
        <v>8.18</v>
      </c>
      <c r="X40" s="37">
        <f>'Vehicle Counts'!I40*M40</f>
        <v>0.00055169553426385</v>
      </c>
      <c r="Y40" s="37">
        <f>'Vehicle Counts'!I40*N40</f>
        <v>0.008420616049290343</v>
      </c>
      <c r="Z40" s="37">
        <f>'Vehicle Counts'!I40*O40</f>
        <v>0.0471746969984243</v>
      </c>
      <c r="AA40" s="37">
        <f>'Vehicle Counts'!I40*P40</f>
        <v>0.0166035836011896</v>
      </c>
      <c r="AB40" s="37">
        <f>'Vehicle Counts'!I40*S40</f>
        <v>0.018392903529027727</v>
      </c>
      <c r="AC40" s="37">
        <f>'Vehicle Counts'!I40*V40</f>
        <v>0.1308732146380705</v>
      </c>
    </row>
    <row r="41" spans="1:29" ht="12.75">
      <c r="A41" s="3"/>
      <c r="B41" s="3"/>
      <c r="C41" s="2">
        <v>29</v>
      </c>
      <c r="D41" s="2">
        <v>20</v>
      </c>
      <c r="E41" s="2">
        <v>2373</v>
      </c>
      <c r="F41" s="2">
        <f t="shared" si="9"/>
        <v>1998</v>
      </c>
      <c r="G41" s="2">
        <v>375</v>
      </c>
      <c r="H41" s="2">
        <v>683</v>
      </c>
      <c r="I41">
        <v>2</v>
      </c>
      <c r="J41">
        <f>IF(I41=1,'User Input and Results'!B$78,IF(I41=2,'User Input and Results'!B$79,IF(I41=3,'User Input and Results'!B$80,'User Input and Results'!B$81)))</f>
        <v>200</v>
      </c>
      <c r="K41">
        <f>IF(I41=1,'User Input and Results'!C$78,IF(I41=2,'User Input and Results'!C$79,IF(I41=3,'User Input and Results'!C$80,'User Input and Results'!C$81)))</f>
        <v>350</v>
      </c>
      <c r="M41" s="37">
        <f t="shared" si="8"/>
        <v>0.034482758620689655</v>
      </c>
      <c r="N41" s="13">
        <f t="shared" si="3"/>
        <v>0.44999999999999996</v>
      </c>
      <c r="O41" s="13">
        <f t="shared" si="4"/>
        <v>2.854285714285714</v>
      </c>
      <c r="P41" s="13">
        <f t="shared" si="5"/>
        <v>0.8333333333333334</v>
      </c>
      <c r="Q41" s="13">
        <f>(1-FiveYearRepair)*100*'Cost Data and Calculations'!$H41/56000</f>
        <v>0.6098214285714286</v>
      </c>
      <c r="R41" s="13">
        <f>FiveYearRepair*100*'Cost Data and Calculations'!$H41/14000</f>
        <v>2.4392857142857145</v>
      </c>
      <c r="S41" s="13">
        <f t="shared" si="6"/>
        <v>1.0184017857142857</v>
      </c>
      <c r="T41" s="13">
        <f>100*'Cost Data and Calculations'!J41/5000</f>
        <v>4</v>
      </c>
      <c r="U41" s="13">
        <f>100*'Cost Data and Calculations'!K41/5000</f>
        <v>7</v>
      </c>
      <c r="V41" s="13">
        <f t="shared" si="7"/>
        <v>6.01</v>
      </c>
      <c r="X41" s="37">
        <f>'Vehicle Counts'!I41*M41</f>
        <v>0.0014612414749391404</v>
      </c>
      <c r="Y41" s="37">
        <f>'Vehicle Counts'!I41*N41</f>
        <v>0.01906920124795578</v>
      </c>
      <c r="Z41" s="37">
        <f>'Vehicle Counts'!I41*O41</f>
        <v>0.12095321934417666</v>
      </c>
      <c r="AA41" s="37">
        <f>'Vehicle Counts'!I41*P41</f>
        <v>0.03531333564436256</v>
      </c>
      <c r="AB41" s="37">
        <f>'Vehicle Counts'!I41*S41</f>
        <v>0.04315579689569612</v>
      </c>
      <c r="AC41" s="37">
        <f>'Vehicle Counts'!I41*V41</f>
        <v>0.25467977666714275</v>
      </c>
    </row>
    <row r="42" spans="1:29" ht="12.75">
      <c r="A42" s="3"/>
      <c r="B42" s="3"/>
      <c r="C42" s="2">
        <v>32</v>
      </c>
      <c r="D42" s="2">
        <v>21</v>
      </c>
      <c r="E42" s="2">
        <v>2450</v>
      </c>
      <c r="F42" s="2">
        <f t="shared" si="9"/>
        <v>1983</v>
      </c>
      <c r="G42" s="2">
        <v>467</v>
      </c>
      <c r="H42" s="2">
        <v>750</v>
      </c>
      <c r="I42">
        <v>2</v>
      </c>
      <c r="J42">
        <f>IF(I42=1,'User Input and Results'!B$78,IF(I42=2,'User Input and Results'!B$79,IF(I42=3,'User Input and Results'!B$80,'User Input and Results'!B$81)))</f>
        <v>200</v>
      </c>
      <c r="K42">
        <f>IF(I42=1,'User Input and Results'!C$78,IF(I42=2,'User Input and Results'!C$79,IF(I42=3,'User Input and Results'!C$80,'User Input and Results'!C$81)))</f>
        <v>350</v>
      </c>
      <c r="M42" s="37">
        <f t="shared" si="8"/>
        <v>0.03125</v>
      </c>
      <c r="N42" s="13">
        <f t="shared" si="3"/>
        <v>0.5238095238095237</v>
      </c>
      <c r="O42" s="13">
        <f t="shared" si="4"/>
        <v>2.8328571428571427</v>
      </c>
      <c r="P42" s="13">
        <f t="shared" si="5"/>
        <v>1.0377777777777777</v>
      </c>
      <c r="Q42" s="13">
        <f>(1-FiveYearRepair)*100*'Cost Data and Calculations'!$H42/56000</f>
        <v>0.6696428571428571</v>
      </c>
      <c r="R42" s="13">
        <f>FiveYearRepair*100*'Cost Data and Calculations'!$H42/14000</f>
        <v>2.6785714285714284</v>
      </c>
      <c r="S42" s="13">
        <f t="shared" si="6"/>
        <v>1.1183035714285712</v>
      </c>
      <c r="T42" s="13">
        <f>100*'Cost Data and Calculations'!J42/5000</f>
        <v>4</v>
      </c>
      <c r="U42" s="13">
        <f>100*'Cost Data and Calculations'!K42/5000</f>
        <v>7</v>
      </c>
      <c r="V42" s="13">
        <f t="shared" si="7"/>
        <v>6.01</v>
      </c>
      <c r="X42" s="37">
        <f>'Vehicle Counts'!I42*M42</f>
        <v>0.0004048097303113502</v>
      </c>
      <c r="Y42" s="37">
        <f>'Vehicle Counts'!I42*N42</f>
        <v>0.006785382146171202</v>
      </c>
      <c r="Z42" s="37">
        <f>'Vehicle Counts'!I42*O42</f>
        <v>0.03669658035233862</v>
      </c>
      <c r="AA42" s="37">
        <f>'Vehicle Counts'!I42*P42</f>
        <v>0.013443281355050704</v>
      </c>
      <c r="AB42" s="37">
        <f>'Vehicle Counts'!I42*S42</f>
        <v>0.014486405348999028</v>
      </c>
      <c r="AC42" s="37">
        <f>'Vehicle Counts'!I42*V42</f>
        <v>0.07785300733347887</v>
      </c>
    </row>
    <row r="43" spans="1:29" ht="12.75">
      <c r="A43" s="3"/>
      <c r="B43" s="3"/>
      <c r="C43" s="2"/>
      <c r="D43" s="2"/>
      <c r="E43" s="2"/>
      <c r="F43" s="2">
        <f t="shared" si="9"/>
        <v>0</v>
      </c>
      <c r="G43" s="2"/>
      <c r="H43" s="2"/>
      <c r="M43" s="37"/>
      <c r="N43" s="13"/>
      <c r="O43" s="13"/>
      <c r="P43" s="13"/>
      <c r="Q43" s="13"/>
      <c r="R43" s="13"/>
      <c r="S43" s="13"/>
      <c r="T43" s="13"/>
      <c r="U43" s="13"/>
      <c r="V43" s="13"/>
      <c r="X43" s="37"/>
      <c r="Y43" s="37"/>
      <c r="Z43" s="37"/>
      <c r="AA43" s="37"/>
      <c r="AB43" s="37"/>
      <c r="AC43" s="37"/>
    </row>
    <row r="44" spans="1:29" ht="12.75">
      <c r="A44" s="3"/>
      <c r="B44" s="3"/>
      <c r="C44" s="2">
        <v>33</v>
      </c>
      <c r="D44" s="2">
        <v>25</v>
      </c>
      <c r="E44" s="2">
        <v>2509</v>
      </c>
      <c r="F44" s="2">
        <f t="shared" si="9"/>
        <v>2134</v>
      </c>
      <c r="G44" s="2">
        <v>375</v>
      </c>
      <c r="H44" s="2">
        <v>743</v>
      </c>
      <c r="I44">
        <v>2</v>
      </c>
      <c r="J44">
        <f>IF(I44=1,'User Input and Results'!B$78,IF(I44=2,'User Input and Results'!B$79,IF(I44=3,'User Input and Results'!B$80,'User Input and Results'!B$81)))</f>
        <v>200</v>
      </c>
      <c r="K44">
        <f>IF(I44=1,'User Input and Results'!C$78,IF(I44=2,'User Input and Results'!C$79,IF(I44=3,'User Input and Results'!C$80,'User Input and Results'!C$81)))</f>
        <v>350</v>
      </c>
      <c r="M44" s="37">
        <f>1/C44</f>
        <v>0.030303030303030304</v>
      </c>
      <c r="N44" s="13">
        <f t="shared" si="3"/>
        <v>0.32000000000000006</v>
      </c>
      <c r="O44" s="13">
        <f t="shared" si="4"/>
        <v>3.0485714285714285</v>
      </c>
      <c r="P44" s="13">
        <f t="shared" si="5"/>
        <v>0.8333333333333334</v>
      </c>
      <c r="Q44" s="13">
        <f>(1-FiveYearRepair)*100*'Cost Data and Calculations'!$H44/56000</f>
        <v>0.6633928571428571</v>
      </c>
      <c r="R44" s="13">
        <f>FiveYearRepair*100*'Cost Data and Calculations'!$H44/14000</f>
        <v>2.6535714285714285</v>
      </c>
      <c r="S44" s="13">
        <f t="shared" si="6"/>
        <v>1.1078660714285713</v>
      </c>
      <c r="T44" s="13">
        <f>100*'Cost Data and Calculations'!J44/5000</f>
        <v>4</v>
      </c>
      <c r="U44" s="13">
        <f>100*'Cost Data and Calculations'!K44/5000</f>
        <v>7</v>
      </c>
      <c r="V44" s="13">
        <f t="shared" si="7"/>
        <v>6.01</v>
      </c>
      <c r="X44" s="37">
        <f>'Vehicle Counts'!I44*M44</f>
        <v>0.0007082938368441204</v>
      </c>
      <c r="Y44" s="37">
        <f>'Vehicle Counts'!I44*N44</f>
        <v>0.007479582917073913</v>
      </c>
      <c r="Z44" s="37">
        <f>'Vehicle Counts'!I44*O44</f>
        <v>0.0712563836831952</v>
      </c>
      <c r="AA44" s="37">
        <f>'Vehicle Counts'!I44*P44</f>
        <v>0.01947808051321331</v>
      </c>
      <c r="AB44" s="37">
        <f>'Vehicle Counts'!I44*S44</f>
        <v>0.02589492544457165</v>
      </c>
      <c r="AC44" s="37">
        <f>'Vehicle Counts'!I44*V44</f>
        <v>0.1404759166612944</v>
      </c>
    </row>
    <row r="45" spans="1:29" ht="12.75">
      <c r="A45" s="3"/>
      <c r="B45" s="3"/>
      <c r="C45" s="2">
        <v>27</v>
      </c>
      <c r="D45" s="2">
        <v>18</v>
      </c>
      <c r="E45" s="2">
        <v>2336</v>
      </c>
      <c r="F45" s="2">
        <f t="shared" si="9"/>
        <v>1869</v>
      </c>
      <c r="G45" s="2">
        <v>467</v>
      </c>
      <c r="H45" s="2">
        <v>936</v>
      </c>
      <c r="I45">
        <v>4</v>
      </c>
      <c r="J45">
        <f>IF(I45=1,'User Input and Results'!B$78,IF(I45=2,'User Input and Results'!B$79,IF(I45=3,'User Input and Results'!B$80,'User Input and Results'!B$81)))</f>
        <v>325</v>
      </c>
      <c r="K45">
        <f>IF(I45=1,'User Input and Results'!C$78,IF(I45=2,'User Input and Results'!C$79,IF(I45=3,'User Input and Results'!C$80,'User Input and Results'!C$81)))</f>
        <v>575</v>
      </c>
      <c r="M45" s="37">
        <f>1/C45</f>
        <v>0.037037037037037035</v>
      </c>
      <c r="N45" s="13">
        <f t="shared" si="3"/>
        <v>0.5</v>
      </c>
      <c r="O45" s="13">
        <f t="shared" si="4"/>
        <v>2.67</v>
      </c>
      <c r="P45" s="13">
        <f t="shared" si="5"/>
        <v>1.0377777777777777</v>
      </c>
      <c r="Q45" s="13">
        <f>(1-FiveYearRepair)*100*'Cost Data and Calculations'!$H45/56000</f>
        <v>0.8357142857142857</v>
      </c>
      <c r="R45" s="13">
        <f>FiveYearRepair*100*'Cost Data and Calculations'!$H45/14000</f>
        <v>3.342857142857143</v>
      </c>
      <c r="S45" s="13">
        <f t="shared" si="6"/>
        <v>1.3956428571428572</v>
      </c>
      <c r="T45" s="13">
        <f>100*'Cost Data and Calculations'!J45/5000</f>
        <v>6.5</v>
      </c>
      <c r="U45" s="13">
        <f>100*'Cost Data and Calculations'!K45/5000</f>
        <v>11.5</v>
      </c>
      <c r="V45" s="13">
        <f t="shared" si="7"/>
        <v>9.85</v>
      </c>
      <c r="X45" s="37">
        <f>'Vehicle Counts'!I45*M45</f>
        <v>0.00020897167055747005</v>
      </c>
      <c r="Y45" s="37">
        <f>'Vehicle Counts'!I45*N45</f>
        <v>0.002821117552525846</v>
      </c>
      <c r="Z45" s="37">
        <f>'Vehicle Counts'!I45*O45</f>
        <v>0.015064767730488017</v>
      </c>
      <c r="AA45" s="37">
        <f>'Vehicle Counts'!I45*P45</f>
        <v>0.005855386209020311</v>
      </c>
      <c r="AB45" s="37">
        <f>'Vehicle Counts'!I45*S45</f>
        <v>0.007874545122686072</v>
      </c>
      <c r="AC45" s="37">
        <f>'Vehicle Counts'!I45*V45</f>
        <v>0.05557601578475917</v>
      </c>
    </row>
    <row r="46" spans="1:29" ht="12.75">
      <c r="A46" s="3"/>
      <c r="B46" s="3"/>
      <c r="C46" s="2">
        <v>30</v>
      </c>
      <c r="D46" s="2">
        <v>20</v>
      </c>
      <c r="E46" s="2">
        <v>2205</v>
      </c>
      <c r="F46" s="2">
        <f t="shared" si="9"/>
        <v>1738</v>
      </c>
      <c r="G46" s="2">
        <v>467</v>
      </c>
      <c r="H46" s="2">
        <v>778</v>
      </c>
      <c r="I46">
        <v>2</v>
      </c>
      <c r="J46">
        <f>IF(I46=1,'User Input and Results'!B$78,IF(I46=2,'User Input and Results'!B$79,IF(I46=3,'User Input and Results'!B$80,'User Input and Results'!B$81)))</f>
        <v>200</v>
      </c>
      <c r="K46">
        <f>IF(I46=1,'User Input and Results'!C$78,IF(I46=2,'User Input and Results'!C$79,IF(I46=3,'User Input and Results'!C$80,'User Input and Results'!C$81)))</f>
        <v>350</v>
      </c>
      <c r="M46" s="37">
        <f>1/C46</f>
        <v>0.03333333333333333</v>
      </c>
      <c r="N46" s="13">
        <f t="shared" si="3"/>
        <v>0.5</v>
      </c>
      <c r="O46" s="13">
        <f t="shared" si="4"/>
        <v>2.4828571428571427</v>
      </c>
      <c r="P46" s="13">
        <f t="shared" si="5"/>
        <v>1.0377777777777777</v>
      </c>
      <c r="Q46" s="13">
        <f>(1-FiveYearRepair)*100*'Cost Data and Calculations'!$H46/56000</f>
        <v>0.6946428571428571</v>
      </c>
      <c r="R46" s="13">
        <f>FiveYearRepair*100*'Cost Data and Calculations'!$H46/14000</f>
        <v>2.7785714285714285</v>
      </c>
      <c r="S46" s="13">
        <f t="shared" si="6"/>
        <v>1.1600535714285714</v>
      </c>
      <c r="T46" s="13">
        <f>100*'Cost Data and Calculations'!J46/5000</f>
        <v>4</v>
      </c>
      <c r="U46" s="13">
        <f>100*'Cost Data and Calculations'!K46/5000</f>
        <v>7</v>
      </c>
      <c r="V46" s="13">
        <f t="shared" si="7"/>
        <v>6.01</v>
      </c>
      <c r="X46" s="37">
        <f>'Vehicle Counts'!I46*M46</f>
        <v>0.0007171271876785193</v>
      </c>
      <c r="Y46" s="37">
        <f>'Vehicle Counts'!I46*N46</f>
        <v>0.01075690781517779</v>
      </c>
      <c r="Z46" s="37">
        <f>'Vehicle Counts'!I46*O46</f>
        <v>0.05341573080793999</v>
      </c>
      <c r="AA46" s="37">
        <f>'Vehicle Counts'!I46*P46</f>
        <v>0.022326559776391232</v>
      </c>
      <c r="AB46" s="37">
        <f>'Vehicle Counts'!I46*S46</f>
        <v>0.02495717865704981</v>
      </c>
      <c r="AC46" s="37">
        <f>'Vehicle Counts'!I46*V46</f>
        <v>0.12929803193843703</v>
      </c>
    </row>
    <row r="47" spans="1:29" ht="12.75">
      <c r="A47" s="3"/>
      <c r="B47" s="3"/>
      <c r="C47" s="2"/>
      <c r="D47" s="2"/>
      <c r="E47" s="2"/>
      <c r="F47" s="2">
        <f t="shared" si="9"/>
        <v>0</v>
      </c>
      <c r="G47" s="2"/>
      <c r="H47" s="2"/>
      <c r="M47" s="37"/>
      <c r="N47" s="13"/>
      <c r="O47" s="13"/>
      <c r="P47" s="13"/>
      <c r="Q47" s="13"/>
      <c r="R47" s="13"/>
      <c r="S47" s="13"/>
      <c r="T47" s="13"/>
      <c r="U47" s="13"/>
      <c r="V47" s="13"/>
      <c r="X47" s="37"/>
      <c r="Y47" s="37"/>
      <c r="Z47" s="37"/>
      <c r="AA47" s="37"/>
      <c r="AB47" s="37"/>
      <c r="AC47" s="37"/>
    </row>
    <row r="48" spans="1:29" ht="12.75">
      <c r="A48" s="3"/>
      <c r="B48" s="3"/>
      <c r="C48" s="2">
        <v>29</v>
      </c>
      <c r="D48" s="2">
        <v>20</v>
      </c>
      <c r="E48" s="2">
        <v>2297</v>
      </c>
      <c r="F48" s="2">
        <f t="shared" si="9"/>
        <v>1830</v>
      </c>
      <c r="G48" s="2">
        <v>467</v>
      </c>
      <c r="H48" s="2">
        <v>896</v>
      </c>
      <c r="I48">
        <v>3</v>
      </c>
      <c r="J48">
        <f>IF(I48=1,'User Input and Results'!B$78,IF(I48=2,'User Input and Results'!B$79,IF(I48=3,'User Input and Results'!B$80,'User Input and Results'!B$81)))</f>
        <v>275</v>
      </c>
      <c r="K48">
        <f>IF(I48=1,'User Input and Results'!C$78,IF(I48=2,'User Input and Results'!C$79,IF(I48=3,'User Input and Results'!C$80,'User Input and Results'!C$81)))</f>
        <v>475</v>
      </c>
      <c r="M48" s="37">
        <f>1/C48</f>
        <v>0.034482758620689655</v>
      </c>
      <c r="N48" s="13">
        <f t="shared" si="3"/>
        <v>0.44999999999999996</v>
      </c>
      <c r="O48" s="13">
        <f t="shared" si="4"/>
        <v>2.6142857142857143</v>
      </c>
      <c r="P48" s="13">
        <f t="shared" si="5"/>
        <v>1.0377777777777777</v>
      </c>
      <c r="Q48" s="13">
        <f>(1-FiveYearRepair)*100*'Cost Data and Calculations'!$H48/56000</f>
        <v>0.8</v>
      </c>
      <c r="R48" s="13">
        <f>FiveYearRepair*100*'Cost Data and Calculations'!$H48/14000</f>
        <v>3.2</v>
      </c>
      <c r="S48" s="13">
        <f t="shared" si="6"/>
        <v>1.3359999999999999</v>
      </c>
      <c r="T48" s="13">
        <f>100*'Cost Data and Calculations'!J48/5000</f>
        <v>5.5</v>
      </c>
      <c r="U48" s="13">
        <f>100*'Cost Data and Calculations'!K48/5000</f>
        <v>9.5</v>
      </c>
      <c r="V48" s="13">
        <f t="shared" si="7"/>
        <v>8.18</v>
      </c>
      <c r="X48" s="37">
        <f>'Vehicle Counts'!I48*M48</f>
        <v>0.0004523023796658021</v>
      </c>
      <c r="Y48" s="37">
        <f>'Vehicle Counts'!I48*N48</f>
        <v>0.005902546054638716</v>
      </c>
      <c r="Z48" s="37">
        <f>'Vehicle Counts'!I48*O48</f>
        <v>0.03429098184123445</v>
      </c>
      <c r="AA48" s="37">
        <f>'Vehicle Counts'!I48*P48</f>
        <v>0.013612291395142126</v>
      </c>
      <c r="AB48" s="37">
        <f>'Vehicle Counts'!I48*S48</f>
        <v>0.017524003397771833</v>
      </c>
      <c r="AC48" s="37">
        <f>'Vehicle Counts'!I48*V48</f>
        <v>0.10729517050432157</v>
      </c>
    </row>
    <row r="49" spans="1:29" ht="12.75">
      <c r="A49" s="3"/>
      <c r="B49" s="3"/>
      <c r="C49" s="2">
        <v>30</v>
      </c>
      <c r="D49" s="2">
        <v>19</v>
      </c>
      <c r="E49" s="2">
        <v>2429</v>
      </c>
      <c r="F49" s="2">
        <f t="shared" si="9"/>
        <v>2034</v>
      </c>
      <c r="G49" s="2">
        <v>395</v>
      </c>
      <c r="H49" s="2">
        <v>705</v>
      </c>
      <c r="I49">
        <v>2</v>
      </c>
      <c r="J49">
        <f>IF(I49=1,'User Input and Results'!B$78,IF(I49=2,'User Input and Results'!B$79,IF(I49=3,'User Input and Results'!B$80,'User Input and Results'!B$81)))</f>
        <v>200</v>
      </c>
      <c r="K49">
        <f>IF(I49=1,'User Input and Results'!C$78,IF(I49=2,'User Input and Results'!C$79,IF(I49=3,'User Input and Results'!C$80,'User Input and Results'!C$81)))</f>
        <v>350</v>
      </c>
      <c r="M49" s="37">
        <f>1/C49</f>
        <v>0.03333333333333333</v>
      </c>
      <c r="N49" s="13">
        <f t="shared" si="3"/>
        <v>0.5789473684210527</v>
      </c>
      <c r="O49" s="13">
        <f t="shared" si="4"/>
        <v>2.9057142857142857</v>
      </c>
      <c r="P49" s="13">
        <f t="shared" si="5"/>
        <v>0.8777777777777778</v>
      </c>
      <c r="Q49" s="13">
        <f>(1-FiveYearRepair)*100*'Cost Data and Calculations'!$H49/56000</f>
        <v>0.6294642857142857</v>
      </c>
      <c r="R49" s="13">
        <f>FiveYearRepair*100*'Cost Data and Calculations'!$H49/14000</f>
        <v>2.517857142857143</v>
      </c>
      <c r="S49" s="13">
        <f t="shared" si="6"/>
        <v>1.051205357142857</v>
      </c>
      <c r="T49" s="13">
        <f>100*'Cost Data and Calculations'!J49/5000</f>
        <v>4</v>
      </c>
      <c r="U49" s="13">
        <f>100*'Cost Data and Calculations'!K49/5000</f>
        <v>7</v>
      </c>
      <c r="V49" s="13">
        <f t="shared" si="7"/>
        <v>6.01</v>
      </c>
      <c r="X49" s="37">
        <f>'Vehicle Counts'!I49*M49</f>
        <v>0.0002483587081373479</v>
      </c>
      <c r="Y49" s="37">
        <f>'Vehicle Counts'!I49*N49</f>
        <v>0.004313598615017096</v>
      </c>
      <c r="Z49" s="37">
        <f>'Vehicle Counts'!I49*O49</f>
        <v>0.0216497833864871</v>
      </c>
      <c r="AA49" s="37">
        <f>'Vehicle Counts'!I49*P49</f>
        <v>0.006540112647616829</v>
      </c>
      <c r="AB49" s="37">
        <f>'Vehicle Counts'!I49*S49</f>
        <v>0.007832280134611782</v>
      </c>
      <c r="AC49" s="37">
        <f>'Vehicle Counts'!I49*V49</f>
        <v>0.04477907507716383</v>
      </c>
    </row>
    <row r="50" spans="1:29" ht="12.75">
      <c r="A50" s="3"/>
      <c r="B50" s="3"/>
      <c r="C50" s="2">
        <v>32</v>
      </c>
      <c r="D50" s="2">
        <v>24</v>
      </c>
      <c r="E50" s="2">
        <v>2064</v>
      </c>
      <c r="F50" s="2">
        <f t="shared" si="9"/>
        <v>1689</v>
      </c>
      <c r="G50" s="2">
        <v>375</v>
      </c>
      <c r="H50" s="2">
        <v>733</v>
      </c>
      <c r="I50">
        <v>2</v>
      </c>
      <c r="J50">
        <f>IF(I50=1,'User Input and Results'!B$78,IF(I50=2,'User Input and Results'!B$79,IF(I50=3,'User Input and Results'!B$80,'User Input and Results'!B$81)))</f>
        <v>200</v>
      </c>
      <c r="K50">
        <f>IF(I50=1,'User Input and Results'!C$78,IF(I50=2,'User Input and Results'!C$79,IF(I50=3,'User Input and Results'!C$80,'User Input and Results'!C$81)))</f>
        <v>350</v>
      </c>
      <c r="M50" s="37">
        <f>1/C50</f>
        <v>0.03125</v>
      </c>
      <c r="N50" s="13">
        <f t="shared" si="3"/>
        <v>0.33333333333333326</v>
      </c>
      <c r="O50" s="13">
        <f t="shared" si="4"/>
        <v>2.412857142857143</v>
      </c>
      <c r="P50" s="13">
        <f t="shared" si="5"/>
        <v>0.8333333333333334</v>
      </c>
      <c r="Q50" s="13">
        <f>(1-FiveYearRepair)*100*'Cost Data and Calculations'!$H50/56000</f>
        <v>0.6544642857142857</v>
      </c>
      <c r="R50" s="13">
        <f>FiveYearRepair*100*'Cost Data and Calculations'!$H50/14000</f>
        <v>2.617857142857143</v>
      </c>
      <c r="S50" s="13">
        <f t="shared" si="6"/>
        <v>1.0929553571428572</v>
      </c>
      <c r="T50" s="13">
        <f>100*'Cost Data and Calculations'!J50/5000</f>
        <v>4</v>
      </c>
      <c r="U50" s="13">
        <f>100*'Cost Data and Calculations'!K50/5000</f>
        <v>7</v>
      </c>
      <c r="V50" s="13">
        <f t="shared" si="7"/>
        <v>6.01</v>
      </c>
      <c r="X50" s="37">
        <f>'Vehicle Counts'!I50*M50</f>
        <v>0.0015273183761074552</v>
      </c>
      <c r="Y50" s="37">
        <f>'Vehicle Counts'!I50*N50</f>
        <v>0.016291396011812852</v>
      </c>
      <c r="Z50" s="37">
        <f>'Vehicle Counts'!I50*O50</f>
        <v>0.11792643370265106</v>
      </c>
      <c r="AA50" s="37">
        <f>'Vehicle Counts'!I50*P50</f>
        <v>0.04072849002953214</v>
      </c>
      <c r="AB50" s="37">
        <f>'Vehicle Counts'!I50*S50</f>
        <v>0.05341730563933992</v>
      </c>
      <c r="AC50" s="37">
        <f>'Vehicle Counts'!I50*V50</f>
        <v>0.2937338700929858</v>
      </c>
    </row>
    <row r="51" spans="1:29" ht="12.75">
      <c r="A51" s="3"/>
      <c r="B51" s="3"/>
      <c r="C51" s="2">
        <v>29</v>
      </c>
      <c r="D51" s="2">
        <v>20</v>
      </c>
      <c r="E51" s="2">
        <v>2057</v>
      </c>
      <c r="F51" s="2">
        <f t="shared" si="9"/>
        <v>1702</v>
      </c>
      <c r="G51" s="2">
        <v>355</v>
      </c>
      <c r="H51" s="2">
        <v>819</v>
      </c>
      <c r="I51">
        <v>2</v>
      </c>
      <c r="J51">
        <f>IF(I51=1,'User Input and Results'!B$78,IF(I51=2,'User Input and Results'!B$79,IF(I51=3,'User Input and Results'!B$80,'User Input and Results'!B$81)))</f>
        <v>200</v>
      </c>
      <c r="K51">
        <f>IF(I51=1,'User Input and Results'!C$78,IF(I51=2,'User Input and Results'!C$79,IF(I51=3,'User Input and Results'!C$80,'User Input and Results'!C$81)))</f>
        <v>350</v>
      </c>
      <c r="M51" s="37">
        <f>1/C51</f>
        <v>0.034482758620689655</v>
      </c>
      <c r="N51" s="13">
        <f t="shared" si="3"/>
        <v>0.44999999999999996</v>
      </c>
      <c r="O51" s="13">
        <f t="shared" si="4"/>
        <v>2.4314285714285715</v>
      </c>
      <c r="P51" s="13">
        <f t="shared" si="5"/>
        <v>0.7888888888888889</v>
      </c>
      <c r="Q51" s="13">
        <f>(1-FiveYearRepair)*100*'Cost Data and Calculations'!$H51/56000</f>
        <v>0.73125</v>
      </c>
      <c r="R51" s="13">
        <f>FiveYearRepair*100*'Cost Data and Calculations'!$H51/14000</f>
        <v>2.925</v>
      </c>
      <c r="S51" s="13">
        <f t="shared" si="6"/>
        <v>1.2211874999999999</v>
      </c>
      <c r="T51" s="13">
        <f>100*'Cost Data and Calculations'!J51/5000</f>
        <v>4</v>
      </c>
      <c r="U51" s="13">
        <f>100*'Cost Data and Calculations'!K51/5000</f>
        <v>7</v>
      </c>
      <c r="V51" s="13">
        <f t="shared" si="7"/>
        <v>6.01</v>
      </c>
      <c r="X51" s="37">
        <f>'Vehicle Counts'!I51*M51</f>
        <v>0.0011139941550945374</v>
      </c>
      <c r="Y51" s="37">
        <f>'Vehicle Counts'!I51*N51</f>
        <v>0.014537623723983711</v>
      </c>
      <c r="Z51" s="37">
        <f>'Vehicle Counts'!I51*O51</f>
        <v>0.07854931929593739</v>
      </c>
      <c r="AA51" s="37">
        <f>'Vehicle Counts'!I51*P51</f>
        <v>0.02548571072599614</v>
      </c>
      <c r="AB51" s="37">
        <f>'Vehicle Counts'!I51*S51</f>
        <v>0.0394514763809608</v>
      </c>
      <c r="AC51" s="37">
        <f>'Vehicle Counts'!I51*V51</f>
        <v>0.1941580412914269</v>
      </c>
    </row>
    <row r="52" spans="1:29" ht="12.75">
      <c r="A52" s="3"/>
      <c r="B52" s="3"/>
      <c r="C52" s="2">
        <v>28</v>
      </c>
      <c r="D52" s="2">
        <v>21</v>
      </c>
      <c r="E52" s="2">
        <v>1954</v>
      </c>
      <c r="F52" s="2">
        <f t="shared" si="9"/>
        <v>1663</v>
      </c>
      <c r="G52" s="2">
        <v>291</v>
      </c>
      <c r="H52" s="2">
        <v>664</v>
      </c>
      <c r="I52">
        <v>1</v>
      </c>
      <c r="J52">
        <f>IF(I52=1,'User Input and Results'!B$78,IF(I52=2,'User Input and Results'!B$79,IF(I52=3,'User Input and Results'!B$80,'User Input and Results'!B$81)))</f>
        <v>150</v>
      </c>
      <c r="K52">
        <f>IF(I52=1,'User Input and Results'!C$78,IF(I52=2,'User Input and Results'!C$79,IF(I52=3,'User Input and Results'!C$80,'User Input and Results'!C$81)))</f>
        <v>275</v>
      </c>
      <c r="M52" s="37">
        <f>1/C52</f>
        <v>0.03571428571428571</v>
      </c>
      <c r="N52" s="13">
        <f t="shared" si="3"/>
        <v>0.33333333333333326</v>
      </c>
      <c r="O52" s="13">
        <f t="shared" si="4"/>
        <v>2.375714285714286</v>
      </c>
      <c r="P52" s="13">
        <f t="shared" si="5"/>
        <v>0.6466666666666666</v>
      </c>
      <c r="Q52" s="13">
        <f>(1-FiveYearRepair)*100*'Cost Data and Calculations'!$H52/56000</f>
        <v>0.5928571428571429</v>
      </c>
      <c r="R52" s="13">
        <f>FiveYearRepair*100*'Cost Data and Calculations'!$H52/14000</f>
        <v>2.3714285714285714</v>
      </c>
      <c r="S52" s="13">
        <f t="shared" si="6"/>
        <v>0.9900714285714285</v>
      </c>
      <c r="T52" s="13">
        <f>100*'Cost Data and Calculations'!J52/5000</f>
        <v>3</v>
      </c>
      <c r="U52" s="13">
        <f>100*'Cost Data and Calculations'!K52/5000</f>
        <v>5.5</v>
      </c>
      <c r="V52" s="13">
        <f t="shared" si="7"/>
        <v>4.675</v>
      </c>
      <c r="X52" s="37">
        <f>'Vehicle Counts'!I52*M52</f>
        <v>0.0007031015728723933</v>
      </c>
      <c r="Y52" s="37">
        <f>'Vehicle Counts'!I52*N52</f>
        <v>0.006562281346809003</v>
      </c>
      <c r="Z52" s="37">
        <f>'Vehicle Counts'!I52*O52</f>
        <v>0.04677031662747161</v>
      </c>
      <c r="AA52" s="37">
        <f>'Vehicle Counts'!I52*P52</f>
        <v>0.012730825812809468</v>
      </c>
      <c r="AB52" s="37">
        <f>'Vehicle Counts'!I52*S52</f>
        <v>0.01949138180316849</v>
      </c>
      <c r="AC52" s="37">
        <f>'Vehicle Counts'!I52*V52</f>
        <v>0.09203599588899629</v>
      </c>
    </row>
    <row r="53" spans="1:29" ht="12.75">
      <c r="A53" s="3"/>
      <c r="B53" s="3"/>
      <c r="C53" s="2"/>
      <c r="D53" s="2"/>
      <c r="E53" s="2"/>
      <c r="F53" s="2">
        <f t="shared" si="9"/>
        <v>0</v>
      </c>
      <c r="G53" s="2"/>
      <c r="H53" s="2"/>
      <c r="M53" s="37"/>
      <c r="N53" s="13"/>
      <c r="O53" s="13"/>
      <c r="P53" s="13"/>
      <c r="Q53" s="13"/>
      <c r="R53" s="13"/>
      <c r="S53" s="13"/>
      <c r="T53" s="13"/>
      <c r="U53" s="13"/>
      <c r="V53" s="13"/>
      <c r="X53" s="37"/>
      <c r="Y53" s="37"/>
      <c r="Z53" s="37"/>
      <c r="AA53" s="37"/>
      <c r="AB53" s="37"/>
      <c r="AC53" s="37"/>
    </row>
    <row r="54" spans="1:29" ht="12.75">
      <c r="A54" s="3"/>
      <c r="B54" s="3"/>
      <c r="C54" s="2">
        <v>33</v>
      </c>
      <c r="D54" s="2">
        <v>24</v>
      </c>
      <c r="E54" s="2">
        <v>1700</v>
      </c>
      <c r="F54" s="2">
        <f t="shared" si="9"/>
        <v>1369</v>
      </c>
      <c r="G54" s="2">
        <v>331</v>
      </c>
      <c r="H54" s="2">
        <v>656</v>
      </c>
      <c r="I54">
        <v>2</v>
      </c>
      <c r="J54">
        <f>IF(I54=1,'User Input and Results'!B$78,IF(I54=2,'User Input and Results'!B$79,IF(I54=3,'User Input and Results'!B$80,'User Input and Results'!B$81)))</f>
        <v>200</v>
      </c>
      <c r="K54">
        <f>IF(I54=1,'User Input and Results'!C$78,IF(I54=2,'User Input and Results'!C$79,IF(I54=3,'User Input and Results'!C$80,'User Input and Results'!C$81)))</f>
        <v>350</v>
      </c>
      <c r="M54" s="37">
        <f>1/C54</f>
        <v>0.030303030303030304</v>
      </c>
      <c r="N54" s="13">
        <f t="shared" si="3"/>
        <v>0.375</v>
      </c>
      <c r="O54" s="13">
        <f t="shared" si="4"/>
        <v>1.9557142857142857</v>
      </c>
      <c r="P54" s="13">
        <f t="shared" si="5"/>
        <v>0.7355555555555555</v>
      </c>
      <c r="Q54" s="13">
        <f>(1-FiveYearRepair)*100*'Cost Data and Calculations'!$H54/56000</f>
        <v>0.5857142857142857</v>
      </c>
      <c r="R54" s="13">
        <f>FiveYearRepair*100*'Cost Data and Calculations'!$H54/14000</f>
        <v>2.342857142857143</v>
      </c>
      <c r="S54" s="13">
        <f t="shared" si="6"/>
        <v>0.9781428571428571</v>
      </c>
      <c r="T54" s="13">
        <f>100*'Cost Data and Calculations'!J54/5000</f>
        <v>4</v>
      </c>
      <c r="U54" s="13">
        <f>100*'Cost Data and Calculations'!K54/5000</f>
        <v>7</v>
      </c>
      <c r="V54" s="13">
        <f t="shared" si="7"/>
        <v>6.01</v>
      </c>
      <c r="X54" s="37">
        <f>'Vehicle Counts'!I54*M54</f>
        <v>0.00026413286232893177</v>
      </c>
      <c r="Y54" s="37">
        <f>'Vehicle Counts'!I54*N54</f>
        <v>0.00326864417132053</v>
      </c>
      <c r="Z54" s="37">
        <f>'Vehicle Counts'!I54*O54</f>
        <v>0.017046757602048785</v>
      </c>
      <c r="AA54" s="37">
        <f>'Vehicle Counts'!I54*P54</f>
        <v>0.006411385011597603</v>
      </c>
      <c r="AB54" s="37">
        <f>'Vehicle Counts'!I54*S54</f>
        <v>0.008525869196583493</v>
      </c>
      <c r="AC54" s="37">
        <f>'Vehicle Counts'!I54*V54</f>
        <v>0.05238547058569703</v>
      </c>
    </row>
    <row r="55" spans="1:29" ht="12.75">
      <c r="A55" s="3"/>
      <c r="B55" s="3"/>
      <c r="C55" s="2">
        <v>36</v>
      </c>
      <c r="D55" s="2">
        <v>26</v>
      </c>
      <c r="E55" s="2">
        <v>1948</v>
      </c>
      <c r="F55" s="2">
        <f t="shared" si="9"/>
        <v>1653</v>
      </c>
      <c r="G55" s="2">
        <v>295</v>
      </c>
      <c r="H55" s="2">
        <v>656</v>
      </c>
      <c r="I55">
        <v>1</v>
      </c>
      <c r="J55">
        <f>IF(I55=1,'User Input and Results'!B$78,IF(I55=2,'User Input and Results'!B$79,IF(I55=3,'User Input and Results'!B$80,'User Input and Results'!B$81)))</f>
        <v>150</v>
      </c>
      <c r="K55">
        <f>IF(I55=1,'User Input and Results'!C$78,IF(I55=2,'User Input and Results'!C$79,IF(I55=3,'User Input and Results'!C$80,'User Input and Results'!C$81)))</f>
        <v>275</v>
      </c>
      <c r="M55" s="37">
        <f>1/C55</f>
        <v>0.027777777777777776</v>
      </c>
      <c r="N55" s="13">
        <f t="shared" si="3"/>
        <v>0.3846153846153846</v>
      </c>
      <c r="O55" s="13">
        <f t="shared" si="4"/>
        <v>2.361428571428571</v>
      </c>
      <c r="P55" s="13">
        <f t="shared" si="5"/>
        <v>0.6555555555555556</v>
      </c>
      <c r="Q55" s="13">
        <f>(1-FiveYearRepair)*100*'Cost Data and Calculations'!$H55/56000</f>
        <v>0.5857142857142857</v>
      </c>
      <c r="R55" s="13">
        <f>FiveYearRepair*100*'Cost Data and Calculations'!$H55/14000</f>
        <v>2.342857142857143</v>
      </c>
      <c r="S55" s="13">
        <f t="shared" si="6"/>
        <v>0.9781428571428571</v>
      </c>
      <c r="T55" s="13">
        <f>100*'Cost Data and Calculations'!J55/5000</f>
        <v>3</v>
      </c>
      <c r="U55" s="13">
        <f>100*'Cost Data and Calculations'!K55/5000</f>
        <v>5.5</v>
      </c>
      <c r="V55" s="13">
        <f t="shared" si="7"/>
        <v>4.675</v>
      </c>
      <c r="X55" s="37">
        <f>'Vehicle Counts'!I55*M55</f>
        <v>0.0013652312838775518</v>
      </c>
      <c r="Y55" s="37">
        <f>'Vehicle Counts'!I55*N55</f>
        <v>0.01890320239215072</v>
      </c>
      <c r="Z55" s="37">
        <f>'Vehicle Counts'!I55*O55</f>
        <v>0.11606026177283622</v>
      </c>
      <c r="AA55" s="37">
        <f>'Vehicle Counts'!I55*P55</f>
        <v>0.03221945829951023</v>
      </c>
      <c r="AB55" s="37">
        <f>'Vehicle Counts'!I55*S55</f>
        <v>0.04807408423222079</v>
      </c>
      <c r="AC55" s="37">
        <f>'Vehicle Counts'!I55*V55</f>
        <v>0.22976842507659198</v>
      </c>
    </row>
    <row r="56" spans="1:29" ht="12.75">
      <c r="A56" s="3"/>
      <c r="B56" s="3"/>
      <c r="C56" s="2"/>
      <c r="D56" s="2"/>
      <c r="E56" s="2"/>
      <c r="F56" s="2">
        <f t="shared" si="9"/>
        <v>0</v>
      </c>
      <c r="G56" s="2"/>
      <c r="H56" s="2"/>
      <c r="M56" s="37"/>
      <c r="N56" s="13"/>
      <c r="O56" s="13"/>
      <c r="P56" s="13"/>
      <c r="Q56" s="13"/>
      <c r="R56" s="13"/>
      <c r="S56" s="13"/>
      <c r="T56" s="13"/>
      <c r="U56" s="13"/>
      <c r="V56" s="13"/>
      <c r="X56" s="37"/>
      <c r="Y56" s="37"/>
      <c r="Z56" s="37"/>
      <c r="AA56" s="37"/>
      <c r="AB56" s="37"/>
      <c r="AC56" s="37"/>
    </row>
    <row r="57" spans="1:29" ht="12.75">
      <c r="A57" s="3"/>
      <c r="B57" s="3"/>
      <c r="C57" s="2">
        <v>29</v>
      </c>
      <c r="D57" s="2">
        <v>19</v>
      </c>
      <c r="E57" s="2">
        <v>1421</v>
      </c>
      <c r="F57" s="2">
        <f t="shared" si="9"/>
        <v>936</v>
      </c>
      <c r="G57" s="2">
        <v>485</v>
      </c>
      <c r="H57" s="2">
        <v>640</v>
      </c>
      <c r="I57">
        <v>3</v>
      </c>
      <c r="J57">
        <f>IF(I57=1,'User Input and Results'!B$78,IF(I57=2,'User Input and Results'!B$79,IF(I57=3,'User Input and Results'!B$80,'User Input and Results'!B$81)))</f>
        <v>275</v>
      </c>
      <c r="K57">
        <f>IF(I57=1,'User Input and Results'!C$78,IF(I57=2,'User Input and Results'!C$79,IF(I57=3,'User Input and Results'!C$80,'User Input and Results'!C$81)))</f>
        <v>475</v>
      </c>
      <c r="M57" s="37">
        <f>1/C57</f>
        <v>0.034482758620689655</v>
      </c>
      <c r="N57" s="13">
        <f t="shared" si="3"/>
        <v>0.5263157894736843</v>
      </c>
      <c r="O57" s="13">
        <f t="shared" si="4"/>
        <v>1.3371428571428572</v>
      </c>
      <c r="P57" s="13">
        <f t="shared" si="5"/>
        <v>1.0777777777777777</v>
      </c>
      <c r="Q57" s="13">
        <f>(1-FiveYearRepair)*100*'Cost Data and Calculations'!$H57/56000</f>
        <v>0.5714285714285714</v>
      </c>
      <c r="R57" s="13">
        <f>FiveYearRepair*100*'Cost Data and Calculations'!$H57/14000</f>
        <v>2.2857142857142856</v>
      </c>
      <c r="S57" s="13">
        <f t="shared" si="6"/>
        <v>0.9542857142857142</v>
      </c>
      <c r="T57" s="13">
        <f>100*'Cost Data and Calculations'!J57/5000</f>
        <v>5.5</v>
      </c>
      <c r="U57" s="13">
        <f>100*'Cost Data and Calculations'!K57/5000</f>
        <v>9.5</v>
      </c>
      <c r="V57" s="13">
        <f t="shared" si="7"/>
        <v>8.18</v>
      </c>
      <c r="X57" s="37">
        <f>'Vehicle Counts'!I57*M57</f>
        <v>0.0004131186240620521</v>
      </c>
      <c r="Y57" s="37">
        <f>'Vehicle Counts'!I57*N57</f>
        <v>0.0063054947883155335</v>
      </c>
      <c r="Z57" s="37">
        <f>'Vehicle Counts'!I57*O57</f>
        <v>0.01601955990220049</v>
      </c>
      <c r="AA57" s="37">
        <f>'Vehicle Counts'!I57*P57</f>
        <v>0.01291225210540614</v>
      </c>
      <c r="AB57" s="37">
        <f>'Vehicle Counts'!I57*S57</f>
        <v>0.01143276283618582</v>
      </c>
      <c r="AC57" s="37">
        <f>'Vehicle Counts'!I57*V57</f>
        <v>0.098</v>
      </c>
    </row>
    <row r="58" spans="1:29" ht="12.75">
      <c r="A58" s="3"/>
      <c r="B58" s="3"/>
      <c r="C58" s="2"/>
      <c r="D58" s="2"/>
      <c r="E58" s="2"/>
      <c r="F58" s="2">
        <f t="shared" si="9"/>
        <v>0</v>
      </c>
      <c r="G58" s="2"/>
      <c r="H58" s="2"/>
      <c r="M58" s="37"/>
      <c r="N58" s="13"/>
      <c r="O58" s="13"/>
      <c r="P58" s="13"/>
      <c r="Q58" s="13"/>
      <c r="R58" s="13"/>
      <c r="S58" s="13"/>
      <c r="T58" s="13"/>
      <c r="U58" s="13"/>
      <c r="V58" s="13"/>
      <c r="X58" s="37"/>
      <c r="Y58" s="37"/>
      <c r="Z58" s="37"/>
      <c r="AA58" s="37"/>
      <c r="AB58" s="37"/>
      <c r="AC58" s="37"/>
    </row>
    <row r="59" spans="1:29" ht="12.75">
      <c r="A59" s="3"/>
      <c r="B59" s="3"/>
      <c r="C59" s="2">
        <v>38</v>
      </c>
      <c r="D59" s="2">
        <v>30</v>
      </c>
      <c r="E59" s="2">
        <v>1012</v>
      </c>
      <c r="F59" s="2">
        <f t="shared" si="9"/>
        <v>717</v>
      </c>
      <c r="G59" s="2">
        <v>295</v>
      </c>
      <c r="H59" s="2">
        <v>545</v>
      </c>
      <c r="I59">
        <v>1</v>
      </c>
      <c r="J59">
        <f>IF(I59=1,'User Input and Results'!B$78,IF(I59=2,'User Input and Results'!B$79,IF(I59=3,'User Input and Results'!B$80,'User Input and Results'!B$81)))</f>
        <v>150</v>
      </c>
      <c r="K59">
        <f>IF(I59=1,'User Input and Results'!C$78,IF(I59=2,'User Input and Results'!C$79,IF(I59=3,'User Input and Results'!C$80,'User Input and Results'!C$81)))</f>
        <v>275</v>
      </c>
      <c r="M59" s="37">
        <f>1/C59</f>
        <v>0.02631578947368421</v>
      </c>
      <c r="N59" s="13">
        <f t="shared" si="3"/>
        <v>0.2666666666666666</v>
      </c>
      <c r="O59" s="13">
        <f t="shared" si="4"/>
        <v>1.0242857142857142</v>
      </c>
      <c r="P59" s="13">
        <f t="shared" si="5"/>
        <v>0.6555555555555556</v>
      </c>
      <c r="Q59" s="13">
        <f>(1-FiveYearRepair)*100*'Cost Data and Calculations'!$H59/56000</f>
        <v>0.48660714285714285</v>
      </c>
      <c r="R59" s="13">
        <f>FiveYearRepair*100*'Cost Data and Calculations'!$H59/14000</f>
        <v>1.9464285714285714</v>
      </c>
      <c r="S59" s="13">
        <f t="shared" si="6"/>
        <v>0.8126339285714285</v>
      </c>
      <c r="T59" s="13">
        <f>100*'Cost Data and Calculations'!J59/5000</f>
        <v>3</v>
      </c>
      <c r="U59" s="13">
        <f>100*'Cost Data and Calculations'!K59/5000</f>
        <v>5.5</v>
      </c>
      <c r="V59" s="13">
        <f t="shared" si="7"/>
        <v>4.675</v>
      </c>
      <c r="X59" s="37">
        <f>'Vehicle Counts'!I59*M59</f>
        <v>0.0009561189036160081</v>
      </c>
      <c r="Y59" s="37">
        <f>'Vehicle Counts'!I59*N59</f>
        <v>0.009688671556642214</v>
      </c>
      <c r="Z59" s="37">
        <f>'Vehicle Counts'!I59*O59</f>
        <v>0.03721487949703108</v>
      </c>
      <c r="AA59" s="37">
        <f>'Vehicle Counts'!I59*P59</f>
        <v>0.023817984243412114</v>
      </c>
      <c r="AB59" s="37">
        <f>'Vehicle Counts'!I59*S59</f>
        <v>0.02952503711142158</v>
      </c>
      <c r="AC59" s="37">
        <f>'Vehicle Counts'!I59*V59</f>
        <v>0.16985452322738384</v>
      </c>
    </row>
    <row r="60" spans="1:29" ht="12.75">
      <c r="A60" s="3"/>
      <c r="B60" s="3"/>
      <c r="C60" s="2">
        <v>30</v>
      </c>
      <c r="D60" s="2">
        <v>23</v>
      </c>
      <c r="E60" s="2">
        <v>1255</v>
      </c>
      <c r="F60" s="2">
        <f t="shared" si="9"/>
        <v>880</v>
      </c>
      <c r="G60" s="2">
        <v>375</v>
      </c>
      <c r="H60" s="2">
        <v>545</v>
      </c>
      <c r="I60">
        <v>2</v>
      </c>
      <c r="J60">
        <f>IF(I60=1,'User Input and Results'!B$78,IF(I60=2,'User Input and Results'!B$79,IF(I60=3,'User Input and Results'!B$80,'User Input and Results'!B$81)))</f>
        <v>200</v>
      </c>
      <c r="K60">
        <f>IF(I60=1,'User Input and Results'!C$78,IF(I60=2,'User Input and Results'!C$79,IF(I60=3,'User Input and Results'!C$80,'User Input and Results'!C$81)))</f>
        <v>350</v>
      </c>
      <c r="M60" s="37">
        <f>1/C60</f>
        <v>0.03333333333333333</v>
      </c>
      <c r="N60" s="13">
        <f t="shared" si="3"/>
        <v>0.30434782608695654</v>
      </c>
      <c r="O60" s="13">
        <f t="shared" si="4"/>
        <v>1.2571428571428571</v>
      </c>
      <c r="P60" s="13">
        <f t="shared" si="5"/>
        <v>0.8333333333333334</v>
      </c>
      <c r="Q60" s="13">
        <f>(1-FiveYearRepair)*100*'Cost Data and Calculations'!$H60/56000</f>
        <v>0.48660714285714285</v>
      </c>
      <c r="R60" s="13">
        <f>FiveYearRepair*100*'Cost Data and Calculations'!$H60/14000</f>
        <v>1.9464285714285714</v>
      </c>
      <c r="S60" s="13">
        <f t="shared" si="6"/>
        <v>0.8126339285714285</v>
      </c>
      <c r="T60" s="13">
        <f>100*'Cost Data and Calculations'!J60/5000</f>
        <v>4</v>
      </c>
      <c r="U60" s="13">
        <f>100*'Cost Data and Calculations'!K60/5000</f>
        <v>7</v>
      </c>
      <c r="V60" s="13">
        <f t="shared" si="7"/>
        <v>6.01</v>
      </c>
      <c r="X60" s="37">
        <f>'Vehicle Counts'!I60*M60</f>
        <v>0.0008073892963868514</v>
      </c>
      <c r="Y60" s="37">
        <f>'Vehicle Counts'!I60*N60</f>
        <v>0.00737181531483647</v>
      </c>
      <c r="Z60" s="37">
        <f>'Vehicle Counts'!I60*O60</f>
        <v>0.030450110606589826</v>
      </c>
      <c r="AA60" s="37">
        <f>'Vehicle Counts'!I60*P60</f>
        <v>0.020184732409671287</v>
      </c>
      <c r="AB60" s="37">
        <f>'Vehicle Counts'!I60*S60</f>
        <v>0.019683358074281055</v>
      </c>
      <c r="AC60" s="37">
        <f>'Vehicle Counts'!I60*V60</f>
        <v>0.1455722901385493</v>
      </c>
    </row>
    <row r="61" spans="1:29" ht="12.75">
      <c r="A61" s="3"/>
      <c r="B61" s="3"/>
      <c r="C61" s="2"/>
      <c r="D61" s="2"/>
      <c r="E61" s="2"/>
      <c r="F61" s="2">
        <f t="shared" si="9"/>
        <v>0</v>
      </c>
      <c r="G61" s="2"/>
      <c r="H61" s="2"/>
      <c r="M61" s="37"/>
      <c r="N61" s="13"/>
      <c r="O61" s="13"/>
      <c r="P61" s="13"/>
      <c r="Q61" s="13"/>
      <c r="R61" s="13"/>
      <c r="S61" s="13"/>
      <c r="T61" s="13"/>
      <c r="U61" s="13"/>
      <c r="V61" s="13"/>
      <c r="X61" s="37"/>
      <c r="Y61" s="37"/>
      <c r="Z61" s="37"/>
      <c r="AA61" s="37"/>
      <c r="AB61" s="37"/>
      <c r="AC61" s="37"/>
    </row>
    <row r="62" spans="1:29" ht="12.75">
      <c r="A62" s="3"/>
      <c r="B62" s="3"/>
      <c r="C62" s="2">
        <v>26</v>
      </c>
      <c r="D62" s="2">
        <v>20</v>
      </c>
      <c r="E62" s="2">
        <v>1990</v>
      </c>
      <c r="F62" s="2">
        <f t="shared" si="9"/>
        <v>1361</v>
      </c>
      <c r="G62" s="2">
        <v>629</v>
      </c>
      <c r="H62" s="2">
        <v>683</v>
      </c>
      <c r="I62">
        <v>3</v>
      </c>
      <c r="J62">
        <f>IF(I62=1,'User Input and Results'!B$78,IF(I62=2,'User Input and Results'!B$79,IF(I62=3,'User Input and Results'!B$80,'User Input and Results'!B$81)))</f>
        <v>275</v>
      </c>
      <c r="K62">
        <f>IF(I62=1,'User Input and Results'!C$78,IF(I62=2,'User Input and Results'!C$79,IF(I62=3,'User Input and Results'!C$80,'User Input and Results'!C$81)))</f>
        <v>475</v>
      </c>
      <c r="M62" s="37">
        <f>1/C62</f>
        <v>0.038461538461538464</v>
      </c>
      <c r="N62" s="13">
        <f t="shared" si="3"/>
        <v>0.30000000000000004</v>
      </c>
      <c r="O62" s="13">
        <f t="shared" si="4"/>
        <v>1.9442857142857144</v>
      </c>
      <c r="P62" s="13">
        <f t="shared" si="5"/>
        <v>1.3977777777777778</v>
      </c>
      <c r="Q62" s="13">
        <f>(1-FiveYearRepair)*100*'Cost Data and Calculations'!$H62/56000</f>
        <v>0.6098214285714286</v>
      </c>
      <c r="R62" s="13">
        <f>FiveYearRepair*100*'Cost Data and Calculations'!$H62/14000</f>
        <v>2.4392857142857145</v>
      </c>
      <c r="S62" s="13">
        <f t="shared" si="6"/>
        <v>1.0184017857142857</v>
      </c>
      <c r="T62" s="13">
        <f>100*'Cost Data and Calculations'!J62/5000</f>
        <v>5.5</v>
      </c>
      <c r="U62" s="13">
        <f>100*'Cost Data and Calculations'!K62/5000</f>
        <v>9.5</v>
      </c>
      <c r="V62" s="13">
        <f t="shared" si="7"/>
        <v>8.18</v>
      </c>
      <c r="X62" s="37">
        <f>'Vehicle Counts'!I62*M62</f>
        <v>0.00015046078615760767</v>
      </c>
      <c r="Y62" s="37">
        <f>'Vehicle Counts'!I62*N62</f>
        <v>0.00117359413202934</v>
      </c>
      <c r="Z62" s="37">
        <f>'Vehicle Counts'!I62*O62</f>
        <v>0.007606007684247293</v>
      </c>
      <c r="AA62" s="37">
        <f>'Vehicle Counts'!I62*P62</f>
        <v>0.005468079326270035</v>
      </c>
      <c r="AB62" s="37">
        <f>'Vehicle Counts'!I62*S62</f>
        <v>0.0039839678658749565</v>
      </c>
      <c r="AC62" s="37">
        <f>'Vehicle Counts'!I62*V62</f>
        <v>0.031999999999999994</v>
      </c>
    </row>
    <row r="63" spans="1:29" ht="12.75">
      <c r="A63" s="3"/>
      <c r="B63" s="3"/>
      <c r="C63" s="2"/>
      <c r="D63" s="2"/>
      <c r="E63" s="2"/>
      <c r="F63" s="2">
        <f t="shared" si="9"/>
        <v>0</v>
      </c>
      <c r="G63" s="2"/>
      <c r="H63" s="2"/>
      <c r="M63" s="37"/>
      <c r="N63" s="13"/>
      <c r="O63" s="13"/>
      <c r="P63" s="13"/>
      <c r="Q63" s="13"/>
      <c r="R63" s="13"/>
      <c r="S63" s="13"/>
      <c r="T63" s="13"/>
      <c r="U63" s="13"/>
      <c r="V63" s="13"/>
      <c r="X63" s="37"/>
      <c r="Y63" s="37"/>
      <c r="Z63" s="37"/>
      <c r="AA63" s="37"/>
      <c r="AB63" s="37"/>
      <c r="AC63" s="37"/>
    </row>
    <row r="64" spans="1:29" ht="12.75">
      <c r="A64" s="3"/>
      <c r="B64" s="3"/>
      <c r="C64" s="2">
        <v>35</v>
      </c>
      <c r="D64" s="2">
        <v>27</v>
      </c>
      <c r="E64" s="2">
        <v>1290</v>
      </c>
      <c r="F64" s="2">
        <f t="shared" si="9"/>
        <v>995</v>
      </c>
      <c r="G64" s="2">
        <v>295</v>
      </c>
      <c r="H64" s="2">
        <v>565</v>
      </c>
      <c r="I64">
        <v>1</v>
      </c>
      <c r="J64">
        <f>IF(I64=1,'User Input and Results'!B$78,IF(I64=2,'User Input and Results'!B$79,IF(I64=3,'User Input and Results'!B$80,'User Input and Results'!B$81)))</f>
        <v>150</v>
      </c>
      <c r="K64">
        <f>IF(I64=1,'User Input and Results'!C$78,IF(I64=2,'User Input and Results'!C$79,IF(I64=3,'User Input and Results'!C$80,'User Input and Results'!C$81)))</f>
        <v>275</v>
      </c>
      <c r="M64" s="37">
        <f>1/C64</f>
        <v>0.02857142857142857</v>
      </c>
      <c r="N64" s="13">
        <f t="shared" si="3"/>
        <v>0.2962962962962963</v>
      </c>
      <c r="O64" s="13">
        <f t="shared" si="4"/>
        <v>1.4214285714285715</v>
      </c>
      <c r="P64" s="13">
        <f t="shared" si="5"/>
        <v>0.6555555555555556</v>
      </c>
      <c r="Q64" s="13">
        <f>(1-FiveYearRepair)*100*'Cost Data and Calculations'!$H64/56000</f>
        <v>0.5044642857142857</v>
      </c>
      <c r="R64" s="13">
        <f>FiveYearRepair*100*'Cost Data and Calculations'!$H64/14000</f>
        <v>2.017857142857143</v>
      </c>
      <c r="S64" s="13">
        <f t="shared" si="6"/>
        <v>0.842455357142857</v>
      </c>
      <c r="T64" s="13">
        <f>100*'Cost Data and Calculations'!J64/5000</f>
        <v>3</v>
      </c>
      <c r="U64" s="13">
        <f>100*'Cost Data and Calculations'!K64/5000</f>
        <v>5.5</v>
      </c>
      <c r="V64" s="13">
        <f t="shared" si="7"/>
        <v>4.675</v>
      </c>
      <c r="X64" s="37">
        <f>'Vehicle Counts'!I64*M64</f>
        <v>0.0003740831295843521</v>
      </c>
      <c r="Y64" s="37">
        <f>'Vehicle Counts'!I64*N64</f>
        <v>0.0038793806030969842</v>
      </c>
      <c r="Z64" s="37">
        <f>'Vehicle Counts'!I64*O64</f>
        <v>0.018610635696821518</v>
      </c>
      <c r="AA64" s="37">
        <f>'Vehicle Counts'!I64*P64</f>
        <v>0.008583129584352079</v>
      </c>
      <c r="AB64" s="37">
        <f>'Vehicle Counts'!I64*S64</f>
        <v>0.011030191778728604</v>
      </c>
      <c r="AC64" s="37">
        <f>'Vehicle Counts'!I64*V64</f>
        <v>0.061209352078239604</v>
      </c>
    </row>
    <row r="65" spans="1:29" ht="12.75">
      <c r="A65" s="3"/>
      <c r="B65" s="3"/>
      <c r="C65" s="2">
        <v>29</v>
      </c>
      <c r="D65" s="2">
        <v>23</v>
      </c>
      <c r="E65" s="2">
        <v>1639</v>
      </c>
      <c r="F65" s="2">
        <f t="shared" si="9"/>
        <v>1204</v>
      </c>
      <c r="G65" s="2">
        <v>435</v>
      </c>
      <c r="H65" s="2">
        <v>550</v>
      </c>
      <c r="I65">
        <v>2</v>
      </c>
      <c r="J65">
        <f>IF(I65=1,'User Input and Results'!B$78,IF(I65=2,'User Input and Results'!B$79,IF(I65=3,'User Input and Results'!B$80,'User Input and Results'!B$81)))</f>
        <v>200</v>
      </c>
      <c r="K65">
        <f>IF(I65=1,'User Input and Results'!C$78,IF(I65=2,'User Input and Results'!C$79,IF(I65=3,'User Input and Results'!C$80,'User Input and Results'!C$81)))</f>
        <v>350</v>
      </c>
      <c r="M65" s="37">
        <f>1/C65</f>
        <v>0.034482758620689655</v>
      </c>
      <c r="N65" s="13">
        <f t="shared" si="3"/>
        <v>0.26086956521739135</v>
      </c>
      <c r="O65" s="13">
        <f t="shared" si="4"/>
        <v>1.72</v>
      </c>
      <c r="P65" s="13">
        <f t="shared" si="5"/>
        <v>0.9666666666666667</v>
      </c>
      <c r="Q65" s="13">
        <f>(1-FiveYearRepair)*100*'Cost Data and Calculations'!$H65/56000</f>
        <v>0.49107142857142855</v>
      </c>
      <c r="R65" s="13">
        <f>FiveYearRepair*100*'Cost Data and Calculations'!$H65/14000</f>
        <v>1.9642857142857142</v>
      </c>
      <c r="S65" s="13">
        <f t="shared" si="6"/>
        <v>0.8200892857142856</v>
      </c>
      <c r="T65" s="13">
        <f>100*'Cost Data and Calculations'!J65/5000</f>
        <v>4</v>
      </c>
      <c r="U65" s="13">
        <f>100*'Cost Data and Calculations'!K65/5000</f>
        <v>7</v>
      </c>
      <c r="V65" s="13">
        <f t="shared" si="7"/>
        <v>6.01</v>
      </c>
      <c r="X65" s="37">
        <f>'Vehicle Counts'!I65*M65</f>
        <v>0.00035115083045274433</v>
      </c>
      <c r="Y65" s="37">
        <f>'Vehicle Counts'!I65*N65</f>
        <v>0.002656532369512066</v>
      </c>
      <c r="Z65" s="37">
        <f>'Vehicle Counts'!I65*O65</f>
        <v>0.017515403422982887</v>
      </c>
      <c r="AA65" s="37">
        <f>'Vehicle Counts'!I65*P65</f>
        <v>0.0098439282803586</v>
      </c>
      <c r="AB65" s="37">
        <f>'Vehicle Counts'!I65*S65</f>
        <v>0.00835127597799511</v>
      </c>
      <c r="AC65" s="37">
        <f>'Vehicle Counts'!I65*V65</f>
        <v>0.061202078239608805</v>
      </c>
    </row>
    <row r="66" spans="1:29" ht="12.75">
      <c r="A66" s="3"/>
      <c r="B66" s="3"/>
      <c r="C66" s="2">
        <v>26</v>
      </c>
      <c r="D66" s="2">
        <v>20</v>
      </c>
      <c r="E66" s="2">
        <v>2269</v>
      </c>
      <c r="F66" s="2">
        <f t="shared" si="9"/>
        <v>1494</v>
      </c>
      <c r="G66" s="2">
        <v>775</v>
      </c>
      <c r="H66" s="2">
        <v>640</v>
      </c>
      <c r="I66">
        <v>3</v>
      </c>
      <c r="J66">
        <f>IF(I66=1,'User Input and Results'!B$78,IF(I66=2,'User Input and Results'!B$79,IF(I66=3,'User Input and Results'!B$80,'User Input and Results'!B$81)))</f>
        <v>275</v>
      </c>
      <c r="K66">
        <f>IF(I66=1,'User Input and Results'!C$78,IF(I66=2,'User Input and Results'!C$79,IF(I66=3,'User Input and Results'!C$80,'User Input and Results'!C$81)))</f>
        <v>475</v>
      </c>
      <c r="M66" s="37">
        <f>1/C66</f>
        <v>0.038461538461538464</v>
      </c>
      <c r="N66" s="13">
        <f t="shared" si="3"/>
        <v>0.30000000000000004</v>
      </c>
      <c r="O66" s="13">
        <f t="shared" si="4"/>
        <v>2.1342857142857143</v>
      </c>
      <c r="P66" s="13">
        <f t="shared" si="5"/>
        <v>1.7222222222222223</v>
      </c>
      <c r="Q66" s="13">
        <f>(1-FiveYearRepair)*100*'Cost Data and Calculations'!$H66/56000</f>
        <v>0.5714285714285714</v>
      </c>
      <c r="R66" s="13">
        <f>FiveYearRepair*100*'Cost Data and Calculations'!$H66/14000</f>
        <v>2.2857142857142856</v>
      </c>
      <c r="S66" s="13">
        <f t="shared" si="6"/>
        <v>0.9542857142857142</v>
      </c>
      <c r="T66" s="13">
        <f>100*'Cost Data and Calculations'!J66/5000</f>
        <v>5.5</v>
      </c>
      <c r="U66" s="13">
        <f>100*'Cost Data and Calculations'!K66/5000</f>
        <v>9.5</v>
      </c>
      <c r="V66" s="13">
        <f t="shared" si="7"/>
        <v>8.18</v>
      </c>
      <c r="X66" s="37">
        <f>'Vehicle Counts'!I66*M66</f>
        <v>0.0002238104194094414</v>
      </c>
      <c r="Y66" s="37">
        <f>'Vehicle Counts'!I66*N66</f>
        <v>0.0017457212713936432</v>
      </c>
      <c r="Z66" s="37">
        <f>'Vehicle Counts'!I66*O66</f>
        <v>0.012419559902200488</v>
      </c>
      <c r="AA66" s="37">
        <f>'Vehicle Counts'!I66*P66</f>
        <v>0.01002173322466721</v>
      </c>
      <c r="AB66" s="37">
        <f>'Vehicle Counts'!I66*S66</f>
        <v>0.005553056234718826</v>
      </c>
      <c r="AC66" s="37">
        <f>'Vehicle Counts'!I66*V66</f>
        <v>0.047599999999999996</v>
      </c>
    </row>
    <row r="67" spans="1:29" ht="12.75">
      <c r="A67" s="3"/>
      <c r="B67" s="3"/>
      <c r="C67" s="2"/>
      <c r="D67" s="2"/>
      <c r="E67" s="2"/>
      <c r="F67" s="2">
        <f t="shared" si="9"/>
        <v>0</v>
      </c>
      <c r="G67" s="2"/>
      <c r="H67" s="2"/>
      <c r="M67" s="37"/>
      <c r="N67" s="13"/>
      <c r="O67" s="13"/>
      <c r="P67" s="13"/>
      <c r="Q67" s="13"/>
      <c r="R67" s="13"/>
      <c r="S67" s="13"/>
      <c r="T67" s="13"/>
      <c r="U67" s="13"/>
      <c r="V67" s="13"/>
      <c r="X67" s="37"/>
      <c r="Y67" s="37"/>
      <c r="Z67" s="37"/>
      <c r="AA67" s="37"/>
      <c r="AB67" s="37"/>
      <c r="AC67" s="37"/>
    </row>
    <row r="68" spans="1:29" ht="12.75">
      <c r="A68" s="3"/>
      <c r="B68" s="3"/>
      <c r="C68" s="2">
        <v>25</v>
      </c>
      <c r="D68" s="2">
        <v>18</v>
      </c>
      <c r="E68" s="2">
        <v>1890</v>
      </c>
      <c r="F68" s="2">
        <f t="shared" si="9"/>
        <v>1325</v>
      </c>
      <c r="G68" s="2">
        <v>565</v>
      </c>
      <c r="H68" s="2">
        <v>697</v>
      </c>
      <c r="I68">
        <v>4</v>
      </c>
      <c r="J68">
        <f>IF(I68=1,'User Input and Results'!B$78,IF(I68=2,'User Input and Results'!B$79,IF(I68=3,'User Input and Results'!B$80,'User Input and Results'!B$81)))</f>
        <v>325</v>
      </c>
      <c r="K68">
        <f>IF(I68=1,'User Input and Results'!C$78,IF(I68=2,'User Input and Results'!C$79,IF(I68=3,'User Input and Results'!C$80,'User Input and Results'!C$81)))</f>
        <v>575</v>
      </c>
      <c r="M68" s="37">
        <f>1/C68</f>
        <v>0.04</v>
      </c>
      <c r="N68" s="13">
        <f t="shared" si="3"/>
        <v>0.38888888888888884</v>
      </c>
      <c r="O68" s="13">
        <f t="shared" si="4"/>
        <v>1.8928571428571428</v>
      </c>
      <c r="P68" s="13">
        <f t="shared" si="5"/>
        <v>1.2555555555555555</v>
      </c>
      <c r="Q68" s="13">
        <f>(1-FiveYearRepair)*100*'Cost Data and Calculations'!$H68/56000</f>
        <v>0.6223214285714286</v>
      </c>
      <c r="R68" s="13">
        <f>FiveYearRepair*100*'Cost Data and Calculations'!$H68/14000</f>
        <v>2.4892857142857143</v>
      </c>
      <c r="S68" s="13">
        <f t="shared" si="6"/>
        <v>1.0392767857142857</v>
      </c>
      <c r="T68" s="13">
        <f>100*'Cost Data and Calculations'!J68/5000</f>
        <v>6.5</v>
      </c>
      <c r="U68" s="13">
        <f>100*'Cost Data and Calculations'!K68/5000</f>
        <v>11.5</v>
      </c>
      <c r="V68" s="13">
        <f t="shared" si="7"/>
        <v>9.85</v>
      </c>
      <c r="X68" s="37">
        <f>'Vehicle Counts'!I68*M68</f>
        <v>0.000293398533007335</v>
      </c>
      <c r="Y68" s="37">
        <f>'Vehicle Counts'!I68*N68</f>
        <v>0.002852485737571312</v>
      </c>
      <c r="Z68" s="37">
        <f>'Vehicle Counts'!I68*O68</f>
        <v>0.01388403772266853</v>
      </c>
      <c r="AA68" s="37">
        <f>'Vehicle Counts'!I68*P68</f>
        <v>0.009209453952730236</v>
      </c>
      <c r="AB68" s="37">
        <f>'Vehicle Counts'!I68*S68</f>
        <v>0.007623057107928746</v>
      </c>
      <c r="AC68" s="37">
        <f>'Vehicle Counts'!I68*V68</f>
        <v>0.07224938875305623</v>
      </c>
    </row>
    <row r="69" spans="1:29" ht="12.75">
      <c r="A69" s="3"/>
      <c r="B69" s="3"/>
      <c r="F69" s="2">
        <f t="shared" si="9"/>
        <v>0</v>
      </c>
      <c r="M69" s="37"/>
      <c r="N69" s="13"/>
      <c r="O69" s="13"/>
      <c r="P69" s="13"/>
      <c r="Q69" s="13"/>
      <c r="R69" s="13"/>
      <c r="S69" s="13"/>
      <c r="T69" s="13"/>
      <c r="U69" s="13"/>
      <c r="V69" s="13"/>
      <c r="X69" s="37"/>
      <c r="Y69" s="37"/>
      <c r="Z69" s="37"/>
      <c r="AA69" s="37"/>
      <c r="AB69" s="37"/>
      <c r="AC69" s="37"/>
    </row>
    <row r="70" spans="1:29" ht="12.75">
      <c r="A70" s="3"/>
      <c r="B70" s="3"/>
      <c r="C70">
        <v>32</v>
      </c>
      <c r="D70">
        <v>23</v>
      </c>
      <c r="E70">
        <v>1374</v>
      </c>
      <c r="F70" s="2">
        <f aca="true" t="shared" si="10" ref="F70:F101">E70-G70</f>
        <v>979</v>
      </c>
      <c r="G70">
        <v>395</v>
      </c>
      <c r="H70">
        <v>589</v>
      </c>
      <c r="I70">
        <v>2</v>
      </c>
      <c r="J70">
        <f>IF(I70=1,'User Input and Results'!B$78,IF(I70=2,'User Input and Results'!B$79,IF(I70=3,'User Input and Results'!B$80,'User Input and Results'!B$81)))</f>
        <v>200</v>
      </c>
      <c r="K70">
        <f>IF(I70=1,'User Input and Results'!C$78,IF(I70=2,'User Input and Results'!C$79,IF(I70=3,'User Input and Results'!C$80,'User Input and Results'!C$81)))</f>
        <v>350</v>
      </c>
      <c r="M70" s="37">
        <f>1/C70</f>
        <v>0.03125</v>
      </c>
      <c r="N70" s="13">
        <f t="shared" si="3"/>
        <v>0.3913043478260869</v>
      </c>
      <c r="O70" s="13">
        <f t="shared" si="4"/>
        <v>1.3985714285714286</v>
      </c>
      <c r="P70" s="13">
        <f t="shared" si="5"/>
        <v>0.8777777777777778</v>
      </c>
      <c r="Q70" s="13">
        <f>(1-FiveYearRepair)*100*'Cost Data and Calculations'!$H70/56000</f>
        <v>0.5258928571428572</v>
      </c>
      <c r="R70" s="13">
        <f>FiveYearRepair*100*'Cost Data and Calculations'!$H70/14000</f>
        <v>2.1035714285714286</v>
      </c>
      <c r="S70" s="13">
        <f t="shared" si="6"/>
        <v>0.8782410714285714</v>
      </c>
      <c r="T70" s="13">
        <f>100*'Cost Data and Calculations'!J70/5000</f>
        <v>4</v>
      </c>
      <c r="U70" s="13">
        <f>100*'Cost Data and Calculations'!K70/5000</f>
        <v>7</v>
      </c>
      <c r="V70" s="13">
        <f t="shared" si="7"/>
        <v>6.01</v>
      </c>
      <c r="X70" s="37">
        <f>'Vehicle Counts'!I70*M70</f>
        <v>0.0010493072534637326</v>
      </c>
      <c r="Y70" s="37">
        <f>'Vehicle Counts'!I70*N70</f>
        <v>0.013139151695545867</v>
      </c>
      <c r="Z70" s="37">
        <f>'Vehicle Counts'!I70*O70</f>
        <v>0.04696099662358831</v>
      </c>
      <c r="AA70" s="37">
        <f>'Vehicle Counts'!I70*P70</f>
        <v>0.029473874852847956</v>
      </c>
      <c r="AB70" s="37">
        <f>'Vehicle Counts'!I70*S70</f>
        <v>0.029489431249272325</v>
      </c>
      <c r="AC70" s="37">
        <f>'Vehicle Counts'!I70*V70</f>
        <v>0.20180277098614505</v>
      </c>
    </row>
    <row r="71" spans="1:29" ht="12.75">
      <c r="A71" s="3"/>
      <c r="B71" s="3"/>
      <c r="C71">
        <v>39</v>
      </c>
      <c r="D71">
        <v>30</v>
      </c>
      <c r="E71">
        <v>1114</v>
      </c>
      <c r="F71" s="2">
        <f t="shared" si="10"/>
        <v>867</v>
      </c>
      <c r="G71">
        <v>247</v>
      </c>
      <c r="H71">
        <v>565</v>
      </c>
      <c r="I71">
        <v>1</v>
      </c>
      <c r="J71">
        <f>IF(I71=1,'User Input and Results'!B$78,IF(I71=2,'User Input and Results'!B$79,IF(I71=3,'User Input and Results'!B$80,'User Input and Results'!B$81)))</f>
        <v>150</v>
      </c>
      <c r="K71">
        <f>IF(I71=1,'User Input and Results'!C$78,IF(I71=2,'User Input and Results'!C$79,IF(I71=3,'User Input and Results'!C$80,'User Input and Results'!C$81)))</f>
        <v>275</v>
      </c>
      <c r="M71" s="37">
        <f>1/C71</f>
        <v>0.02564102564102564</v>
      </c>
      <c r="N71" s="13">
        <f aca="true" t="shared" si="11" ref="N71:N134">C71/D71-1</f>
        <v>0.30000000000000004</v>
      </c>
      <c r="O71" s="13">
        <f aca="true" t="shared" si="12" ref="O71:O134">100*F71/70000</f>
        <v>1.2385714285714287</v>
      </c>
      <c r="P71" s="13">
        <f aca="true" t="shared" si="13" ref="P71:P134">100*G71/45000</f>
        <v>0.5488888888888889</v>
      </c>
      <c r="Q71" s="13">
        <f>(1-FiveYearRepair)*100*'Cost Data and Calculations'!$H71/56000</f>
        <v>0.5044642857142857</v>
      </c>
      <c r="R71" s="13">
        <f>FiveYearRepair*100*'Cost Data and Calculations'!$H71/14000</f>
        <v>2.017857142857143</v>
      </c>
      <c r="S71" s="13">
        <f aca="true" t="shared" si="14" ref="S71:S134">Q71*LT5vmt+FiveYearRepair*R71*(1-LT5vmt)</f>
        <v>0.842455357142857</v>
      </c>
      <c r="T71" s="13">
        <f>100*'Cost Data and Calculations'!J71/5000</f>
        <v>3</v>
      </c>
      <c r="U71" s="13">
        <f>100*'Cost Data and Calculations'!K71/5000</f>
        <v>5.5</v>
      </c>
      <c r="V71" s="13">
        <f aca="true" t="shared" si="15" ref="V71:V134">T71*LT5vmt+U71*(1-LT5vmt)</f>
        <v>4.675</v>
      </c>
      <c r="X71" s="37">
        <f>'Vehicle Counts'!I71*M71</f>
        <v>0.0012914550811861324</v>
      </c>
      <c r="Y71" s="37">
        <f>'Vehicle Counts'!I71*N71</f>
        <v>0.015110024449877753</v>
      </c>
      <c r="Z71" s="37">
        <f>'Vehicle Counts'!I71*O71</f>
        <v>0.062382815228781</v>
      </c>
      <c r="AA71" s="37">
        <f>'Vehicle Counts'!I71*P71</f>
        <v>0.027645748437924476</v>
      </c>
      <c r="AB71" s="37">
        <f>'Vehicle Counts'!I71*S71</f>
        <v>0.042431736814530205</v>
      </c>
      <c r="AC71" s="37">
        <f>'Vehicle Counts'!I71*V71</f>
        <v>0.2354645476772616</v>
      </c>
    </row>
    <row r="72" spans="1:29" ht="12.75">
      <c r="A72" s="3"/>
      <c r="F72" s="2">
        <f t="shared" si="10"/>
        <v>0</v>
      </c>
      <c r="M72" s="37"/>
      <c r="N72" s="13"/>
      <c r="O72" s="13"/>
      <c r="P72" s="13"/>
      <c r="Q72" s="13"/>
      <c r="R72" s="13"/>
      <c r="S72" s="13"/>
      <c r="T72" s="13"/>
      <c r="U72" s="13"/>
      <c r="V72" s="13"/>
      <c r="X72" s="37"/>
      <c r="Y72" s="37"/>
      <c r="Z72" s="37"/>
      <c r="AA72" s="37"/>
      <c r="AB72" s="37"/>
      <c r="AC72" s="37"/>
    </row>
    <row r="73" spans="2:29" ht="12.75">
      <c r="B73" s="3"/>
      <c r="C73">
        <v>32</v>
      </c>
      <c r="D73">
        <v>26</v>
      </c>
      <c r="E73">
        <v>1945</v>
      </c>
      <c r="F73" s="2">
        <f t="shared" si="10"/>
        <v>1490</v>
      </c>
      <c r="G73">
        <v>455</v>
      </c>
      <c r="H73">
        <v>869</v>
      </c>
      <c r="I73">
        <v>2</v>
      </c>
      <c r="J73">
        <f>IF(I73=1,'User Input and Results'!B$78,IF(I73=2,'User Input and Results'!B$79,IF(I73=3,'User Input and Results'!B$80,'User Input and Results'!B$81)))</f>
        <v>200</v>
      </c>
      <c r="K73">
        <f>IF(I73=1,'User Input and Results'!C$78,IF(I73=2,'User Input and Results'!C$79,IF(I73=3,'User Input and Results'!C$80,'User Input and Results'!C$81)))</f>
        <v>350</v>
      </c>
      <c r="M73" s="37">
        <f>1/C73</f>
        <v>0.03125</v>
      </c>
      <c r="N73" s="13">
        <f t="shared" si="11"/>
        <v>0.23076923076923084</v>
      </c>
      <c r="O73" s="13">
        <f t="shared" si="12"/>
        <v>2.1285714285714286</v>
      </c>
      <c r="P73" s="13">
        <f t="shared" si="13"/>
        <v>1.011111111111111</v>
      </c>
      <c r="Q73" s="13">
        <f>(1-FiveYearRepair)*100*'Cost Data and Calculations'!$H73/56000</f>
        <v>0.7758928571428572</v>
      </c>
      <c r="R73" s="13">
        <f>FiveYearRepair*100*'Cost Data and Calculations'!$H73/14000</f>
        <v>3.1035714285714286</v>
      </c>
      <c r="S73" s="13">
        <f t="shared" si="14"/>
        <v>1.2957410714285715</v>
      </c>
      <c r="T73" s="13">
        <f>100*'Cost Data and Calculations'!J73/5000</f>
        <v>4</v>
      </c>
      <c r="U73" s="13">
        <f>100*'Cost Data and Calculations'!K73/5000</f>
        <v>7</v>
      </c>
      <c r="V73" s="13">
        <f t="shared" si="15"/>
        <v>6.01</v>
      </c>
      <c r="X73" s="37">
        <f>'Vehicle Counts'!I73*M73</f>
        <v>0.0002597799511002445</v>
      </c>
      <c r="Y73" s="37">
        <f>'Vehicle Counts'!I73*N73</f>
        <v>0.0019183750235094983</v>
      </c>
      <c r="Z73" s="37">
        <f>'Vehicle Counts'!I73*O73</f>
        <v>0.017694725812085223</v>
      </c>
      <c r="AA73" s="37">
        <f>'Vehicle Counts'!I73*P73</f>
        <v>0.008405324640043465</v>
      </c>
      <c r="AB73" s="37">
        <f>'Vehicle Counts'!I73*S73</f>
        <v>0.010771441669577367</v>
      </c>
      <c r="AC73" s="37">
        <f>'Vehicle Counts'!I73*V73</f>
        <v>0.049960880195599015</v>
      </c>
    </row>
    <row r="74" spans="2:29" ht="12.75">
      <c r="B74" s="3"/>
      <c r="C74">
        <v>30</v>
      </c>
      <c r="D74">
        <v>25</v>
      </c>
      <c r="E74">
        <v>1952</v>
      </c>
      <c r="F74" s="2">
        <f t="shared" si="10"/>
        <v>1461</v>
      </c>
      <c r="G74">
        <v>491</v>
      </c>
      <c r="H74">
        <v>550</v>
      </c>
      <c r="I74">
        <v>1</v>
      </c>
      <c r="J74">
        <f>IF(I74=1,'User Input and Results'!B$78,IF(I74=2,'User Input and Results'!B$79,IF(I74=3,'User Input and Results'!B$80,'User Input and Results'!B$81)))</f>
        <v>150</v>
      </c>
      <c r="K74">
        <f>IF(I74=1,'User Input and Results'!C$78,IF(I74=2,'User Input and Results'!C$79,IF(I74=3,'User Input and Results'!C$80,'User Input and Results'!C$81)))</f>
        <v>275</v>
      </c>
      <c r="M74" s="37">
        <f>1/C74</f>
        <v>0.03333333333333333</v>
      </c>
      <c r="N74" s="13">
        <f t="shared" si="11"/>
        <v>0.19999999999999996</v>
      </c>
      <c r="O74" s="13">
        <f t="shared" si="12"/>
        <v>2.087142857142857</v>
      </c>
      <c r="P74" s="13">
        <f t="shared" si="13"/>
        <v>1.0911111111111111</v>
      </c>
      <c r="Q74" s="13">
        <f>(1-FiveYearRepair)*100*'Cost Data and Calculations'!$H74/56000</f>
        <v>0.49107142857142855</v>
      </c>
      <c r="R74" s="13">
        <f>FiveYearRepair*100*'Cost Data and Calculations'!$H74/14000</f>
        <v>1.9642857142857142</v>
      </c>
      <c r="S74" s="13">
        <f t="shared" si="14"/>
        <v>0.8200892857142856</v>
      </c>
      <c r="T74" s="13">
        <f>100*'Cost Data and Calculations'!J74/5000</f>
        <v>3</v>
      </c>
      <c r="U74" s="13">
        <f>100*'Cost Data and Calculations'!K74/5000</f>
        <v>5.5</v>
      </c>
      <c r="V74" s="13">
        <f t="shared" si="15"/>
        <v>4.675</v>
      </c>
      <c r="X74" s="37">
        <f>'Vehicle Counts'!I74*M74</f>
        <v>0.00041564792176039116</v>
      </c>
      <c r="Y74" s="37">
        <f>'Vehicle Counts'!I74*N74</f>
        <v>0.0024938875305623464</v>
      </c>
      <c r="Z74" s="37">
        <f>'Vehicle Counts'!I74*O74</f>
        <v>0.026025497729654207</v>
      </c>
      <c r="AA74" s="37">
        <f>'Vehicle Counts'!I74*P74</f>
        <v>0.013605541972290138</v>
      </c>
      <c r="AB74" s="37">
        <f>'Vehicle Counts'!I74*S74</f>
        <v>0.010226052217953195</v>
      </c>
      <c r="AC74" s="37">
        <f>'Vehicle Counts'!I74*V74</f>
        <v>0.05829462102689486</v>
      </c>
    </row>
    <row r="75" spans="6:29" ht="12.75">
      <c r="F75" s="2">
        <f t="shared" si="10"/>
        <v>0</v>
      </c>
      <c r="M75" s="37"/>
      <c r="N75" s="13"/>
      <c r="O75" s="13"/>
      <c r="P75" s="13"/>
      <c r="Q75" s="13"/>
      <c r="R75" s="13"/>
      <c r="S75" s="13"/>
      <c r="T75" s="13"/>
      <c r="U75" s="13"/>
      <c r="V75" s="13"/>
      <c r="X75" s="37"/>
      <c r="Y75" s="37"/>
      <c r="Z75" s="37"/>
      <c r="AA75" s="37"/>
      <c r="AB75" s="37"/>
      <c r="AC75" s="37"/>
    </row>
    <row r="76" spans="1:29" ht="12.75">
      <c r="A76" s="71" t="s">
        <v>6</v>
      </c>
      <c r="B76" s="71"/>
      <c r="F76" s="2">
        <f t="shared" si="10"/>
        <v>0</v>
      </c>
      <c r="N76" s="13"/>
      <c r="O76" s="13"/>
      <c r="P76" s="13"/>
      <c r="Q76" s="13"/>
      <c r="R76" s="13"/>
      <c r="S76" s="13"/>
      <c r="T76" s="13"/>
      <c r="U76" s="13"/>
      <c r="V76" s="13"/>
      <c r="X76" s="37"/>
      <c r="Y76" s="37"/>
      <c r="Z76" s="37"/>
      <c r="AA76" s="37"/>
      <c r="AB76" s="37"/>
      <c r="AC76" s="37"/>
    </row>
    <row r="77" spans="1:29" ht="12.75">
      <c r="A77" s="3"/>
      <c r="B77" s="4"/>
      <c r="F77" s="2">
        <f t="shared" si="10"/>
        <v>0</v>
      </c>
      <c r="M77" s="37"/>
      <c r="N77" s="13"/>
      <c r="O77" s="13"/>
      <c r="P77" s="13"/>
      <c r="Q77" s="13"/>
      <c r="R77" s="13"/>
      <c r="S77" s="13"/>
      <c r="T77" s="13"/>
      <c r="U77" s="13"/>
      <c r="V77" s="13"/>
      <c r="X77" s="37"/>
      <c r="Y77" s="37"/>
      <c r="Z77" s="37"/>
      <c r="AA77" s="37"/>
      <c r="AB77" s="37"/>
      <c r="AC77" s="37"/>
    </row>
    <row r="78" spans="1:29" ht="12.75">
      <c r="A78" s="3"/>
      <c r="B78" s="3"/>
      <c r="C78">
        <v>25</v>
      </c>
      <c r="D78">
        <v>19</v>
      </c>
      <c r="E78">
        <v>1794</v>
      </c>
      <c r="F78" s="2">
        <f t="shared" si="10"/>
        <v>1299</v>
      </c>
      <c r="G78">
        <v>495</v>
      </c>
      <c r="H78">
        <v>864</v>
      </c>
      <c r="I78">
        <v>2</v>
      </c>
      <c r="J78">
        <f>IF(I78=1,'User Input and Results'!B$78,IF(I78=2,'User Input and Results'!B$79,IF(I78=3,'User Input and Results'!B$80,'User Input and Results'!B$81)))</f>
        <v>200</v>
      </c>
      <c r="K78">
        <f>IF(I78=1,'User Input and Results'!C$78,IF(I78=2,'User Input and Results'!C$79,IF(I78=3,'User Input and Results'!C$80,'User Input and Results'!C$81)))</f>
        <v>350</v>
      </c>
      <c r="M78" s="37">
        <f>1/C78</f>
        <v>0.04</v>
      </c>
      <c r="N78" s="13">
        <f t="shared" si="11"/>
        <v>0.3157894736842106</v>
      </c>
      <c r="O78" s="13">
        <f t="shared" si="12"/>
        <v>1.8557142857142856</v>
      </c>
      <c r="P78" s="13">
        <f t="shared" si="13"/>
        <v>1.1</v>
      </c>
      <c r="Q78" s="13">
        <f>(1-FiveYearRepair)*100*'Cost Data and Calculations'!$H78/56000</f>
        <v>0.7714285714285715</v>
      </c>
      <c r="R78" s="13">
        <f>FiveYearRepair*100*'Cost Data and Calculations'!$H78/14000</f>
        <v>3.085714285714286</v>
      </c>
      <c r="S78" s="13">
        <f t="shared" si="14"/>
        <v>1.2882857142857143</v>
      </c>
      <c r="T78" s="13">
        <f>100*'Cost Data and Calculations'!J78/5000</f>
        <v>4</v>
      </c>
      <c r="U78" s="13">
        <f>100*'Cost Data and Calculations'!K78/5000</f>
        <v>7</v>
      </c>
      <c r="V78" s="13">
        <f t="shared" si="15"/>
        <v>6.01</v>
      </c>
      <c r="X78" s="37">
        <f>'Vehicle Counts'!I78*M78</f>
        <v>0.0005443552114985178</v>
      </c>
      <c r="Y78" s="37">
        <f>'Vehicle Counts'!I78*N78</f>
        <v>0.0042975411434093514</v>
      </c>
      <c r="Z78" s="37">
        <f>'Vehicle Counts'!I78*O78</f>
        <v>0.025254193562020518</v>
      </c>
      <c r="AA78" s="37">
        <f>'Vehicle Counts'!I78*P78</f>
        <v>0.014969768316209237</v>
      </c>
      <c r="AB78" s="37">
        <f>'Vehicle Counts'!I78*S78</f>
        <v>0.017532126061762972</v>
      </c>
      <c r="AC78" s="37">
        <f>'Vehicle Counts'!I78*V78</f>
        <v>0.08178937052765228</v>
      </c>
    </row>
    <row r="79" spans="1:29" ht="12.75">
      <c r="A79" s="3"/>
      <c r="B79" s="3"/>
      <c r="C79">
        <v>24</v>
      </c>
      <c r="D79">
        <v>18</v>
      </c>
      <c r="E79">
        <v>1824</v>
      </c>
      <c r="F79" s="2">
        <f t="shared" si="10"/>
        <v>1389</v>
      </c>
      <c r="G79">
        <v>435</v>
      </c>
      <c r="H79">
        <v>975</v>
      </c>
      <c r="I79">
        <v>2</v>
      </c>
      <c r="J79">
        <f>IF(I79=1,'User Input and Results'!B$78,IF(I79=2,'User Input and Results'!B$79,IF(I79=3,'User Input and Results'!B$80,'User Input and Results'!B$81)))</f>
        <v>200</v>
      </c>
      <c r="K79">
        <f>IF(I79=1,'User Input and Results'!C$78,IF(I79=2,'User Input and Results'!C$79,IF(I79=3,'User Input and Results'!C$80,'User Input and Results'!C$81)))</f>
        <v>350</v>
      </c>
      <c r="M79" s="37">
        <f>1/C79</f>
        <v>0.041666666666666664</v>
      </c>
      <c r="N79" s="13">
        <f t="shared" si="11"/>
        <v>0.33333333333333326</v>
      </c>
      <c r="O79" s="13">
        <f t="shared" si="12"/>
        <v>1.9842857142857142</v>
      </c>
      <c r="P79" s="13">
        <f t="shared" si="13"/>
        <v>0.9666666666666667</v>
      </c>
      <c r="Q79" s="13">
        <f>(1-FiveYearRepair)*100*'Cost Data and Calculations'!$H79/56000</f>
        <v>0.8705357142857143</v>
      </c>
      <c r="R79" s="13">
        <f>FiveYearRepair*100*'Cost Data and Calculations'!$H79/14000</f>
        <v>3.482142857142857</v>
      </c>
      <c r="S79" s="13">
        <f t="shared" si="14"/>
        <v>1.4537946428571427</v>
      </c>
      <c r="T79" s="13">
        <f>100*'Cost Data and Calculations'!J79/5000</f>
        <v>4</v>
      </c>
      <c r="U79" s="13">
        <f>100*'Cost Data and Calculations'!K79/5000</f>
        <v>7</v>
      </c>
      <c r="V79" s="13">
        <f t="shared" si="15"/>
        <v>6.01</v>
      </c>
      <c r="X79" s="37">
        <f>'Vehicle Counts'!I79*M79</f>
        <v>0.0013230855835033415</v>
      </c>
      <c r="Y79" s="37">
        <f>'Vehicle Counts'!I79*N79</f>
        <v>0.01058468466802673</v>
      </c>
      <c r="Z79" s="37">
        <f>'Vehicle Counts'!I79*O79</f>
        <v>0.06300911573095341</v>
      </c>
      <c r="AA79" s="37">
        <f>'Vehicle Counts'!I79*P79</f>
        <v>0.030695585537277525</v>
      </c>
      <c r="AB79" s="37">
        <f>'Vehicle Counts'!I79*S79</f>
        <v>0.04616387360012819</v>
      </c>
      <c r="AC79" s="37">
        <f>'Vehicle Counts'!I79*V79</f>
        <v>0.19084186456452198</v>
      </c>
    </row>
    <row r="80" spans="1:29" ht="12.75">
      <c r="A80" s="3"/>
      <c r="B80" s="3"/>
      <c r="F80" s="2">
        <f t="shared" si="10"/>
        <v>0</v>
      </c>
      <c r="M80" s="37"/>
      <c r="N80" s="13"/>
      <c r="O80" s="13"/>
      <c r="P80" s="13"/>
      <c r="Q80" s="13"/>
      <c r="R80" s="13"/>
      <c r="S80" s="13"/>
      <c r="T80" s="13"/>
      <c r="U80" s="13"/>
      <c r="V80" s="13"/>
      <c r="X80" s="37"/>
      <c r="Y80" s="37"/>
      <c r="Z80" s="37"/>
      <c r="AA80" s="37"/>
      <c r="AB80" s="37"/>
      <c r="AC80" s="37"/>
    </row>
    <row r="81" spans="1:29" ht="12.75">
      <c r="A81" s="3"/>
      <c r="B81" s="3"/>
      <c r="C81">
        <v>24</v>
      </c>
      <c r="D81">
        <v>18</v>
      </c>
      <c r="E81">
        <v>1594</v>
      </c>
      <c r="F81" s="2">
        <f t="shared" si="10"/>
        <v>1239</v>
      </c>
      <c r="G81">
        <v>355</v>
      </c>
      <c r="H81">
        <v>966</v>
      </c>
      <c r="I81">
        <v>2</v>
      </c>
      <c r="J81">
        <f>IF(I81=1,'User Input and Results'!B$78,IF(I81=2,'User Input and Results'!B$79,IF(I81=3,'User Input and Results'!B$80,'User Input and Results'!B$81)))</f>
        <v>200</v>
      </c>
      <c r="K81">
        <f>IF(I81=1,'User Input and Results'!C$78,IF(I81=2,'User Input and Results'!C$79,IF(I81=3,'User Input and Results'!C$80,'User Input and Results'!C$81)))</f>
        <v>350</v>
      </c>
      <c r="M81" s="37">
        <f>1/C81</f>
        <v>0.041666666666666664</v>
      </c>
      <c r="N81" s="13">
        <f t="shared" si="11"/>
        <v>0.33333333333333326</v>
      </c>
      <c r="O81" s="13">
        <f t="shared" si="12"/>
        <v>1.77</v>
      </c>
      <c r="P81" s="13">
        <f t="shared" si="13"/>
        <v>0.7888888888888889</v>
      </c>
      <c r="Q81" s="13">
        <f>(1-FiveYearRepair)*100*'Cost Data and Calculations'!$H81/56000</f>
        <v>0.8625</v>
      </c>
      <c r="R81" s="13">
        <f>FiveYearRepair*100*'Cost Data and Calculations'!$H81/14000</f>
        <v>3.45</v>
      </c>
      <c r="S81" s="13">
        <f t="shared" si="14"/>
        <v>1.440375</v>
      </c>
      <c r="T81" s="13">
        <f>100*'Cost Data and Calculations'!J81/5000</f>
        <v>4</v>
      </c>
      <c r="U81" s="13">
        <f>100*'Cost Data and Calculations'!K81/5000</f>
        <v>7</v>
      </c>
      <c r="V81" s="13">
        <f t="shared" si="15"/>
        <v>6.01</v>
      </c>
      <c r="X81" s="37">
        <f>'Vehicle Counts'!I81*M81</f>
        <v>0.0020100525741616176</v>
      </c>
      <c r="Y81" s="37">
        <f>'Vehicle Counts'!I81*N81</f>
        <v>0.01608042059329294</v>
      </c>
      <c r="Z81" s="37">
        <f>'Vehicle Counts'!I81*O81</f>
        <v>0.08538703335038553</v>
      </c>
      <c r="AA81" s="37">
        <f>'Vehicle Counts'!I81*P81</f>
        <v>0.03805699540412663</v>
      </c>
      <c r="AB81" s="37">
        <f>'Vehicle Counts'!I81*S81</f>
        <v>0.06948550743619297</v>
      </c>
      <c r="AC81" s="37">
        <f>'Vehicle Counts'!I81*V81</f>
        <v>0.28992998329707176</v>
      </c>
    </row>
    <row r="82" spans="1:29" ht="12.75">
      <c r="A82" s="3"/>
      <c r="B82" s="3"/>
      <c r="C82">
        <v>19</v>
      </c>
      <c r="D82">
        <v>15</v>
      </c>
      <c r="E82">
        <v>1526</v>
      </c>
      <c r="F82" s="2">
        <f t="shared" si="10"/>
        <v>1179</v>
      </c>
      <c r="G82">
        <v>347</v>
      </c>
      <c r="H82">
        <v>793</v>
      </c>
      <c r="I82">
        <v>2</v>
      </c>
      <c r="J82">
        <f>IF(I82=1,'User Input and Results'!B$78,IF(I82=2,'User Input and Results'!B$79,IF(I82=3,'User Input and Results'!B$80,'User Input and Results'!B$81)))</f>
        <v>200</v>
      </c>
      <c r="K82">
        <f>IF(I82=1,'User Input and Results'!C$78,IF(I82=2,'User Input and Results'!C$79,IF(I82=3,'User Input and Results'!C$80,'User Input and Results'!C$81)))</f>
        <v>350</v>
      </c>
      <c r="M82" s="37">
        <f>1/C82</f>
        <v>0.05263157894736842</v>
      </c>
      <c r="N82" s="13">
        <f t="shared" si="11"/>
        <v>0.2666666666666666</v>
      </c>
      <c r="O82" s="13">
        <f t="shared" si="12"/>
        <v>1.6842857142857144</v>
      </c>
      <c r="P82" s="13">
        <f t="shared" si="13"/>
        <v>0.7711111111111111</v>
      </c>
      <c r="Q82" s="13">
        <f>(1-FiveYearRepair)*100*'Cost Data and Calculations'!$H82/56000</f>
        <v>0.7080357142857143</v>
      </c>
      <c r="R82" s="13">
        <f>FiveYearRepair*100*'Cost Data and Calculations'!$H82/14000</f>
        <v>2.8321428571428573</v>
      </c>
      <c r="S82" s="13">
        <f t="shared" si="14"/>
        <v>1.1824196428571427</v>
      </c>
      <c r="T82" s="13">
        <f>100*'Cost Data and Calculations'!J82/5000</f>
        <v>4</v>
      </c>
      <c r="U82" s="13">
        <f>100*'Cost Data and Calculations'!K82/5000</f>
        <v>7</v>
      </c>
      <c r="V82" s="13">
        <f t="shared" si="15"/>
        <v>6.01</v>
      </c>
      <c r="X82" s="37">
        <f>'Vehicle Counts'!I82*M82</f>
        <v>0.002115844814906966</v>
      </c>
      <c r="Y82" s="37">
        <f>'Vehicle Counts'!I82*N82</f>
        <v>0.010720280395528626</v>
      </c>
      <c r="Z82" s="37">
        <f>'Vehicle Counts'!I82*O82</f>
        <v>0.0677100567124728</v>
      </c>
      <c r="AA82" s="37">
        <f>'Vehicle Counts'!I82*P82</f>
        <v>0.030999477477070284</v>
      </c>
      <c r="AB82" s="37">
        <f>'Vehicle Counts'!I82*S82</f>
        <v>0.047534512937285216</v>
      </c>
      <c r="AC82" s="37">
        <f>'Vehicle Counts'!I82*V82</f>
        <v>0.24160831941422647</v>
      </c>
    </row>
    <row r="83" spans="1:29" ht="12.75">
      <c r="A83" s="3"/>
      <c r="B83" s="3"/>
      <c r="C83">
        <v>18</v>
      </c>
      <c r="D83">
        <v>13</v>
      </c>
      <c r="E83">
        <v>1550</v>
      </c>
      <c r="F83" s="2">
        <f t="shared" si="10"/>
        <v>1115</v>
      </c>
      <c r="G83">
        <v>435</v>
      </c>
      <c r="H83">
        <v>1091</v>
      </c>
      <c r="I83">
        <v>2</v>
      </c>
      <c r="J83">
        <f>IF(I83=1,'User Input and Results'!B$78,IF(I83=2,'User Input and Results'!B$79,IF(I83=3,'User Input and Results'!B$80,'User Input and Results'!B$81)))</f>
        <v>200</v>
      </c>
      <c r="K83">
        <f>IF(I83=1,'User Input and Results'!C$78,IF(I83=2,'User Input and Results'!C$79,IF(I83=3,'User Input and Results'!C$80,'User Input and Results'!C$81)))</f>
        <v>350</v>
      </c>
      <c r="M83" s="37">
        <f>1/C83</f>
        <v>0.05555555555555555</v>
      </c>
      <c r="N83" s="13">
        <f t="shared" si="11"/>
        <v>0.3846153846153846</v>
      </c>
      <c r="O83" s="13">
        <f t="shared" si="12"/>
        <v>1.5928571428571427</v>
      </c>
      <c r="P83" s="13">
        <f t="shared" si="13"/>
        <v>0.9666666666666667</v>
      </c>
      <c r="Q83" s="13">
        <f>(1-FiveYearRepair)*100*'Cost Data and Calculations'!$H83/56000</f>
        <v>0.9741071428571428</v>
      </c>
      <c r="R83" s="13">
        <f>FiveYearRepair*100*'Cost Data and Calculations'!$H83/14000</f>
        <v>3.8964285714285714</v>
      </c>
      <c r="S83" s="13">
        <f t="shared" si="14"/>
        <v>1.6267589285714283</v>
      </c>
      <c r="T83" s="13">
        <f>100*'Cost Data and Calculations'!J83/5000</f>
        <v>4</v>
      </c>
      <c r="U83" s="13">
        <f>100*'Cost Data and Calculations'!K83/5000</f>
        <v>7</v>
      </c>
      <c r="V83" s="13">
        <f t="shared" si="15"/>
        <v>6.01</v>
      </c>
      <c r="X83" s="37">
        <f>'Vehicle Counts'!I83*M83</f>
        <v>0.0022333917490684643</v>
      </c>
      <c r="Y83" s="37">
        <f>'Vehicle Counts'!I83*N83</f>
        <v>0.01546194287816629</v>
      </c>
      <c r="Z83" s="37">
        <f>'Vehicle Counts'!I83*O83</f>
        <v>0.0640345320054344</v>
      </c>
      <c r="AA83" s="37">
        <f>'Vehicle Counts'!I83*P83</f>
        <v>0.03886101643379128</v>
      </c>
      <c r="AB83" s="37">
        <f>'Vehicle Counts'!I83*S83</f>
        <v>0.0653974194383079</v>
      </c>
      <c r="AC83" s="37">
        <f>'Vehicle Counts'!I83*V83</f>
        <v>0.24160831941422647</v>
      </c>
    </row>
    <row r="84" spans="1:29" ht="12.75">
      <c r="A84" s="3"/>
      <c r="B84" s="3"/>
      <c r="C84">
        <v>17</v>
      </c>
      <c r="D84">
        <v>13</v>
      </c>
      <c r="E84">
        <v>2150</v>
      </c>
      <c r="F84" s="2">
        <f t="shared" si="10"/>
        <v>1619</v>
      </c>
      <c r="G84">
        <v>531</v>
      </c>
      <c r="H84">
        <v>849</v>
      </c>
      <c r="I84">
        <v>3</v>
      </c>
      <c r="J84">
        <f>IF(I84=1,'User Input and Results'!B$78,IF(I84=2,'User Input and Results'!B$79,IF(I84=3,'User Input and Results'!B$80,'User Input and Results'!B$81)))</f>
        <v>275</v>
      </c>
      <c r="K84">
        <f>IF(I84=1,'User Input and Results'!C$78,IF(I84=2,'User Input and Results'!C$79,IF(I84=3,'User Input and Results'!C$80,'User Input and Results'!C$81)))</f>
        <v>475</v>
      </c>
      <c r="M84" s="37">
        <f>1/C84</f>
        <v>0.058823529411764705</v>
      </c>
      <c r="N84" s="13">
        <f t="shared" si="11"/>
        <v>0.3076923076923077</v>
      </c>
      <c r="O84" s="13">
        <f t="shared" si="12"/>
        <v>2.3128571428571427</v>
      </c>
      <c r="P84" s="13">
        <f t="shared" si="13"/>
        <v>1.18</v>
      </c>
      <c r="Q84" s="13">
        <f>(1-FiveYearRepair)*100*'Cost Data and Calculations'!$H84/56000</f>
        <v>0.7580357142857143</v>
      </c>
      <c r="R84" s="13">
        <f>FiveYearRepair*100*'Cost Data and Calculations'!$H84/14000</f>
        <v>3.032142857142857</v>
      </c>
      <c r="S84" s="13">
        <f t="shared" si="14"/>
        <v>1.2659196428571426</v>
      </c>
      <c r="T84" s="13">
        <f>100*'Cost Data and Calculations'!J84/5000</f>
        <v>5.5</v>
      </c>
      <c r="U84" s="13">
        <f>100*'Cost Data and Calculations'!K84/5000</f>
        <v>9.5</v>
      </c>
      <c r="V84" s="13">
        <f t="shared" si="15"/>
        <v>8.18</v>
      </c>
      <c r="X84" s="37">
        <f>'Vehicle Counts'!I84*M84</f>
        <v>0.0009459070937231142</v>
      </c>
      <c r="Y84" s="37">
        <f>'Vehicle Counts'!I84*N84</f>
        <v>0.0049478217210132125</v>
      </c>
      <c r="Z84" s="37">
        <f>'Vehicle Counts'!I84*O84</f>
        <v>0.037191715629344674</v>
      </c>
      <c r="AA84" s="37">
        <f>'Vehicle Counts'!I84*P84</f>
        <v>0.01897489630008567</v>
      </c>
      <c r="AB84" s="37">
        <f>'Vehicle Counts'!I84*S84</f>
        <v>0.02035652029445404</v>
      </c>
      <c r="AC84" s="37">
        <f>'Vehicle Counts'!I84*V84</f>
        <v>0.13153784045313624</v>
      </c>
    </row>
    <row r="85" spans="1:29" ht="12.75">
      <c r="A85" s="3"/>
      <c r="B85" s="3"/>
      <c r="C85">
        <v>16</v>
      </c>
      <c r="D85">
        <v>14</v>
      </c>
      <c r="E85">
        <v>1834</v>
      </c>
      <c r="F85" s="2">
        <f t="shared" si="10"/>
        <v>1399</v>
      </c>
      <c r="G85">
        <v>435</v>
      </c>
      <c r="H85">
        <v>849</v>
      </c>
      <c r="I85">
        <v>3</v>
      </c>
      <c r="J85">
        <f>IF(I85=1,'User Input and Results'!B$78,IF(I85=2,'User Input and Results'!B$79,IF(I85=3,'User Input and Results'!B$80,'User Input and Results'!B$81)))</f>
        <v>275</v>
      </c>
      <c r="K85">
        <f>IF(I85=1,'User Input and Results'!C$78,IF(I85=2,'User Input and Results'!C$79,IF(I85=3,'User Input and Results'!C$80,'User Input and Results'!C$81)))</f>
        <v>475</v>
      </c>
      <c r="M85" s="37">
        <f>1/C85</f>
        <v>0.0625</v>
      </c>
      <c r="N85" s="13">
        <f t="shared" si="11"/>
        <v>0.1428571428571428</v>
      </c>
      <c r="O85" s="13">
        <f t="shared" si="12"/>
        <v>1.9985714285714287</v>
      </c>
      <c r="P85" s="13">
        <f t="shared" si="13"/>
        <v>0.9666666666666667</v>
      </c>
      <c r="Q85" s="13">
        <f>(1-FiveYearRepair)*100*'Cost Data and Calculations'!$H85/56000</f>
        <v>0.7580357142857143</v>
      </c>
      <c r="R85" s="13">
        <f>FiveYearRepair*100*'Cost Data and Calculations'!$H85/14000</f>
        <v>3.032142857142857</v>
      </c>
      <c r="S85" s="13">
        <f t="shared" si="14"/>
        <v>1.2659196428571426</v>
      </c>
      <c r="T85" s="13">
        <f>100*'Cost Data and Calculations'!J85/5000</f>
        <v>5.5</v>
      </c>
      <c r="U85" s="13">
        <f>100*'Cost Data and Calculations'!K85/5000</f>
        <v>9.5</v>
      </c>
      <c r="V85" s="13">
        <f t="shared" si="15"/>
        <v>8.18</v>
      </c>
      <c r="X85" s="37">
        <f>'Vehicle Counts'!I85*M85</f>
        <v>0.0010050262870808088</v>
      </c>
      <c r="Y85" s="37">
        <f>'Vehicle Counts'!I85*N85</f>
        <v>0.0022972029418989906</v>
      </c>
      <c r="Z85" s="37">
        <f>'Vehicle Counts'!I85*O85</f>
        <v>0.03213786915716689</v>
      </c>
      <c r="AA85" s="37">
        <f>'Vehicle Counts'!I85*P85</f>
        <v>0.015544406573516509</v>
      </c>
      <c r="AB85" s="37">
        <f>'Vehicle Counts'!I85*S85</f>
        <v>0.02035652029445404</v>
      </c>
      <c r="AC85" s="37">
        <f>'Vehicle Counts'!I85*V85</f>
        <v>0.13153784045313624</v>
      </c>
    </row>
    <row r="86" spans="1:29" ht="12.75">
      <c r="A86" s="3"/>
      <c r="B86" s="3"/>
      <c r="F86" s="2">
        <f t="shared" si="10"/>
        <v>0</v>
      </c>
      <c r="M86" s="37"/>
      <c r="N86" s="13"/>
      <c r="O86" s="13"/>
      <c r="P86" s="13"/>
      <c r="Q86" s="13"/>
      <c r="R86" s="13"/>
      <c r="S86" s="13"/>
      <c r="T86" s="13"/>
      <c r="U86" s="13"/>
      <c r="V86" s="13"/>
      <c r="X86" s="37"/>
      <c r="Y86" s="37"/>
      <c r="Z86" s="37"/>
      <c r="AA86" s="37"/>
      <c r="AB86" s="37"/>
      <c r="AC86" s="37"/>
    </row>
    <row r="87" spans="1:29" ht="12.75">
      <c r="A87" s="3"/>
      <c r="B87" s="3"/>
      <c r="C87">
        <v>18</v>
      </c>
      <c r="D87">
        <v>14</v>
      </c>
      <c r="E87">
        <v>1911</v>
      </c>
      <c r="F87" s="2">
        <f t="shared" si="10"/>
        <v>1476</v>
      </c>
      <c r="G87">
        <v>435</v>
      </c>
      <c r="H87">
        <v>880</v>
      </c>
      <c r="I87">
        <v>3</v>
      </c>
      <c r="J87">
        <f>IF(I87=1,'User Input and Results'!B$78,IF(I87=2,'User Input and Results'!B$79,IF(I87=3,'User Input and Results'!B$80,'User Input and Results'!B$81)))</f>
        <v>275</v>
      </c>
      <c r="K87">
        <f>IF(I87=1,'User Input and Results'!C$78,IF(I87=2,'User Input and Results'!C$79,IF(I87=3,'User Input and Results'!C$80,'User Input and Results'!C$81)))</f>
        <v>475</v>
      </c>
      <c r="M87" s="37">
        <f aca="true" t="shared" si="16" ref="M87:M94">1/C87</f>
        <v>0.05555555555555555</v>
      </c>
      <c r="N87" s="13">
        <f t="shared" si="11"/>
        <v>0.2857142857142858</v>
      </c>
      <c r="O87" s="13">
        <f t="shared" si="12"/>
        <v>2.1085714285714285</v>
      </c>
      <c r="P87" s="13">
        <f t="shared" si="13"/>
        <v>0.9666666666666667</v>
      </c>
      <c r="Q87" s="13">
        <f>(1-FiveYearRepair)*100*'Cost Data and Calculations'!$H87/56000</f>
        <v>0.7857142857142857</v>
      </c>
      <c r="R87" s="13">
        <f>FiveYearRepair*100*'Cost Data and Calculations'!$H87/14000</f>
        <v>3.142857142857143</v>
      </c>
      <c r="S87" s="13">
        <f t="shared" si="14"/>
        <v>1.312142857142857</v>
      </c>
      <c r="T87" s="13">
        <f>100*'Cost Data and Calculations'!J87/5000</f>
        <v>5.5</v>
      </c>
      <c r="U87" s="13">
        <f>100*'Cost Data and Calculations'!K87/5000</f>
        <v>9.5</v>
      </c>
      <c r="V87" s="13">
        <f t="shared" si="15"/>
        <v>8.18</v>
      </c>
      <c r="X87" s="37">
        <f>'Vehicle Counts'!I87*M87</f>
        <v>0.0009207497758903947</v>
      </c>
      <c r="Y87" s="37">
        <f>'Vehicle Counts'!I87*N87</f>
        <v>0.004735284561722032</v>
      </c>
      <c r="Z87" s="37">
        <f>'Vehicle Counts'!I87*O87</f>
        <v>0.03494640006550858</v>
      </c>
      <c r="AA87" s="37">
        <f>'Vehicle Counts'!I87*P87</f>
        <v>0.016021046100492868</v>
      </c>
      <c r="AB87" s="37">
        <f>'Vehicle Counts'!I87*S87</f>
        <v>0.021746794349708422</v>
      </c>
      <c r="AC87" s="37">
        <f>'Vehicle Counts'!I87*V87</f>
        <v>0.1355711970021017</v>
      </c>
    </row>
    <row r="88" spans="1:29" ht="12.75">
      <c r="A88" s="3"/>
      <c r="B88" s="3"/>
      <c r="C88">
        <v>23</v>
      </c>
      <c r="D88">
        <v>18</v>
      </c>
      <c r="E88">
        <v>1345</v>
      </c>
      <c r="F88" s="2">
        <f t="shared" si="10"/>
        <v>990</v>
      </c>
      <c r="G88">
        <v>355</v>
      </c>
      <c r="H88">
        <v>914</v>
      </c>
      <c r="I88">
        <v>2</v>
      </c>
      <c r="J88">
        <f>IF(I88=1,'User Input and Results'!B$78,IF(I88=2,'User Input and Results'!B$79,IF(I88=3,'User Input and Results'!B$80,'User Input and Results'!B$81)))</f>
        <v>200</v>
      </c>
      <c r="K88">
        <f>IF(I88=1,'User Input and Results'!C$78,IF(I88=2,'User Input and Results'!C$79,IF(I88=3,'User Input and Results'!C$80,'User Input and Results'!C$81)))</f>
        <v>350</v>
      </c>
      <c r="M88" s="37">
        <f t="shared" si="16"/>
        <v>0.043478260869565216</v>
      </c>
      <c r="N88" s="13">
        <f t="shared" si="11"/>
        <v>0.2777777777777777</v>
      </c>
      <c r="O88" s="13">
        <f t="shared" si="12"/>
        <v>1.4142857142857144</v>
      </c>
      <c r="P88" s="13">
        <f t="shared" si="13"/>
        <v>0.7888888888888889</v>
      </c>
      <c r="Q88" s="13">
        <f>(1-FiveYearRepair)*100*'Cost Data and Calculations'!$H88/56000</f>
        <v>0.8160714285714286</v>
      </c>
      <c r="R88" s="13">
        <f>FiveYearRepair*100*'Cost Data and Calculations'!$H88/14000</f>
        <v>3.2642857142857142</v>
      </c>
      <c r="S88" s="13">
        <f t="shared" si="14"/>
        <v>1.3628392857142855</v>
      </c>
      <c r="T88" s="13">
        <f>100*'Cost Data and Calculations'!J88/5000</f>
        <v>4</v>
      </c>
      <c r="U88" s="13">
        <f>100*'Cost Data and Calculations'!K88/5000</f>
        <v>7</v>
      </c>
      <c r="V88" s="13">
        <f t="shared" si="15"/>
        <v>6.01</v>
      </c>
      <c r="X88" s="37">
        <f>'Vehicle Counts'!I88*M88</f>
        <v>0.0007205867811316133</v>
      </c>
      <c r="Y88" s="37">
        <f>'Vehicle Counts'!I88*N88</f>
        <v>0.004603748879451973</v>
      </c>
      <c r="Z88" s="37">
        <f>'Vehicle Counts'!I88*O88</f>
        <v>0.02343965858052405</v>
      </c>
      <c r="AA88" s="37">
        <f>'Vehicle Counts'!I88*P88</f>
        <v>0.013074646817643606</v>
      </c>
      <c r="AB88" s="37">
        <f>'Vehicle Counts'!I88*S88</f>
        <v>0.022587011404128974</v>
      </c>
      <c r="AC88" s="37">
        <f>'Vehicle Counts'!I88*V88</f>
        <v>0.0996067107558229</v>
      </c>
    </row>
    <row r="89" spans="1:29" ht="12.75">
      <c r="A89" s="3"/>
      <c r="B89" s="3"/>
      <c r="C89">
        <v>18</v>
      </c>
      <c r="D89">
        <v>13</v>
      </c>
      <c r="E89">
        <v>2149</v>
      </c>
      <c r="F89" s="2">
        <f t="shared" si="10"/>
        <v>1674</v>
      </c>
      <c r="G89">
        <v>475</v>
      </c>
      <c r="H89">
        <v>1043</v>
      </c>
      <c r="I89">
        <v>4</v>
      </c>
      <c r="J89">
        <f>IF(I89=1,'User Input and Results'!B$78,IF(I89=2,'User Input and Results'!B$79,IF(I89=3,'User Input and Results'!B$80,'User Input and Results'!B$81)))</f>
        <v>325</v>
      </c>
      <c r="K89">
        <f>IF(I89=1,'User Input and Results'!C$78,IF(I89=2,'User Input and Results'!C$79,IF(I89=3,'User Input and Results'!C$80,'User Input and Results'!C$81)))</f>
        <v>575</v>
      </c>
      <c r="M89" s="37">
        <f t="shared" si="16"/>
        <v>0.05555555555555555</v>
      </c>
      <c r="N89" s="13">
        <f t="shared" si="11"/>
        <v>0.3846153846153846</v>
      </c>
      <c r="O89" s="13">
        <f t="shared" si="12"/>
        <v>2.3914285714285715</v>
      </c>
      <c r="P89" s="13">
        <f t="shared" si="13"/>
        <v>1.0555555555555556</v>
      </c>
      <c r="Q89" s="13">
        <f>(1-FiveYearRepair)*100*'Cost Data and Calculations'!$H89/56000</f>
        <v>0.93125</v>
      </c>
      <c r="R89" s="13">
        <f>FiveYearRepair*100*'Cost Data and Calculations'!$H89/14000</f>
        <v>3.725</v>
      </c>
      <c r="S89" s="13">
        <f t="shared" si="14"/>
        <v>1.5551875</v>
      </c>
      <c r="T89" s="13">
        <f>100*'Cost Data and Calculations'!J89/5000</f>
        <v>6.5</v>
      </c>
      <c r="U89" s="13">
        <f>100*'Cost Data and Calculations'!K89/5000</f>
        <v>11.5</v>
      </c>
      <c r="V89" s="13">
        <f t="shared" si="15"/>
        <v>9.85</v>
      </c>
      <c r="X89" s="37">
        <f>'Vehicle Counts'!I89*M89</f>
        <v>0.0018414995517807894</v>
      </c>
      <c r="Y89" s="37">
        <f>'Vehicle Counts'!I89*N89</f>
        <v>0.01274884305079008</v>
      </c>
      <c r="Z89" s="37">
        <f>'Vehicle Counts'!I89*O89</f>
        <v>0.07926866356322679</v>
      </c>
      <c r="AA89" s="37">
        <f>'Vehicle Counts'!I89*P89</f>
        <v>0.034988491483835</v>
      </c>
      <c r="AB89" s="37">
        <f>'Vehicle Counts'!I89*S89</f>
        <v>0.051549787515331555</v>
      </c>
      <c r="AC89" s="37">
        <f>'Vehicle Counts'!I89*V89</f>
        <v>0.326497870530734</v>
      </c>
    </row>
    <row r="90" spans="1:29" ht="12.75">
      <c r="A90" s="3"/>
      <c r="B90" s="3"/>
      <c r="C90">
        <v>16</v>
      </c>
      <c r="D90">
        <v>12</v>
      </c>
      <c r="E90">
        <v>1793</v>
      </c>
      <c r="F90" s="2">
        <f t="shared" si="10"/>
        <v>1330</v>
      </c>
      <c r="G90">
        <v>463</v>
      </c>
      <c r="H90">
        <v>964</v>
      </c>
      <c r="I90">
        <v>4</v>
      </c>
      <c r="J90">
        <f>IF(I90=1,'User Input and Results'!B$78,IF(I90=2,'User Input and Results'!B$79,IF(I90=3,'User Input and Results'!B$80,'User Input and Results'!B$81)))</f>
        <v>325</v>
      </c>
      <c r="K90">
        <f>IF(I90=1,'User Input and Results'!C$78,IF(I90=2,'User Input and Results'!C$79,IF(I90=3,'User Input and Results'!C$80,'User Input and Results'!C$81)))</f>
        <v>575</v>
      </c>
      <c r="M90" s="37">
        <f t="shared" si="16"/>
        <v>0.0625</v>
      </c>
      <c r="N90" s="13">
        <f t="shared" si="11"/>
        <v>0.33333333333333326</v>
      </c>
      <c r="O90" s="13">
        <f t="shared" si="12"/>
        <v>1.9</v>
      </c>
      <c r="P90" s="13">
        <f t="shared" si="13"/>
        <v>1.028888888888889</v>
      </c>
      <c r="Q90" s="13">
        <f>(1-FiveYearRepair)*100*'Cost Data and Calculations'!$H90/56000</f>
        <v>0.8607142857142858</v>
      </c>
      <c r="R90" s="13">
        <f>FiveYearRepair*100*'Cost Data and Calculations'!$H90/14000</f>
        <v>3.442857142857143</v>
      </c>
      <c r="S90" s="13">
        <f t="shared" si="14"/>
        <v>1.4373928571428571</v>
      </c>
      <c r="T90" s="13">
        <f>100*'Cost Data and Calculations'!J90/5000</f>
        <v>6.5</v>
      </c>
      <c r="U90" s="13">
        <f>100*'Cost Data and Calculations'!K90/5000</f>
        <v>11.5</v>
      </c>
      <c r="V90" s="13">
        <f t="shared" si="15"/>
        <v>9.85</v>
      </c>
      <c r="X90" s="37">
        <f>'Vehicle Counts'!I90*M90</f>
        <v>0.0020716869957533883</v>
      </c>
      <c r="Y90" s="37">
        <f>'Vehicle Counts'!I90*N90</f>
        <v>0.011048997310684735</v>
      </c>
      <c r="Z90" s="37">
        <f>'Vehicle Counts'!I90*O90</f>
        <v>0.062979284670903</v>
      </c>
      <c r="AA90" s="37">
        <f>'Vehicle Counts'!I90*P90</f>
        <v>0.03410457169898023</v>
      </c>
      <c r="AB90" s="37">
        <f>'Vehicle Counts'!I90*S90</f>
        <v>0.04764524943890664</v>
      </c>
      <c r="AC90" s="37">
        <f>'Vehicle Counts'!I90*V90</f>
        <v>0.326497870530734</v>
      </c>
    </row>
    <row r="91" spans="1:29" ht="12.75">
      <c r="A91" s="3"/>
      <c r="B91" s="3"/>
      <c r="C91">
        <v>19</v>
      </c>
      <c r="D91">
        <v>14</v>
      </c>
      <c r="E91">
        <v>1733</v>
      </c>
      <c r="F91" s="2">
        <f t="shared" si="10"/>
        <v>1278</v>
      </c>
      <c r="G91">
        <v>455</v>
      </c>
      <c r="H91">
        <v>926</v>
      </c>
      <c r="I91">
        <v>2</v>
      </c>
      <c r="J91">
        <f>IF(I91=1,'User Input and Results'!B$78,IF(I91=2,'User Input and Results'!B$79,IF(I91=3,'User Input and Results'!B$80,'User Input and Results'!B$81)))</f>
        <v>200</v>
      </c>
      <c r="K91">
        <f>IF(I91=1,'User Input and Results'!C$78,IF(I91=2,'User Input and Results'!C$79,IF(I91=3,'User Input and Results'!C$80,'User Input and Results'!C$81)))</f>
        <v>350</v>
      </c>
      <c r="M91" s="37">
        <f t="shared" si="16"/>
        <v>0.05263157894736842</v>
      </c>
      <c r="N91" s="13">
        <f t="shared" si="11"/>
        <v>0.3571428571428572</v>
      </c>
      <c r="O91" s="13">
        <f t="shared" si="12"/>
        <v>1.8257142857142856</v>
      </c>
      <c r="P91" s="13">
        <f t="shared" si="13"/>
        <v>1.011111111111111</v>
      </c>
      <c r="Q91" s="13">
        <f>(1-FiveYearRepair)*100*'Cost Data and Calculations'!$H91/56000</f>
        <v>0.8267857142857142</v>
      </c>
      <c r="R91" s="13">
        <f>FiveYearRepair*100*'Cost Data and Calculations'!$H91/14000</f>
        <v>3.307142857142857</v>
      </c>
      <c r="S91" s="13">
        <f t="shared" si="14"/>
        <v>1.3807321428571426</v>
      </c>
      <c r="T91" s="13">
        <f>100*'Cost Data and Calculations'!J91/5000</f>
        <v>4</v>
      </c>
      <c r="U91" s="13">
        <f>100*'Cost Data and Calculations'!K91/5000</f>
        <v>7</v>
      </c>
      <c r="V91" s="13">
        <f t="shared" si="15"/>
        <v>6.01</v>
      </c>
      <c r="X91" s="37">
        <f>'Vehicle Counts'!I91*M91</f>
        <v>0.0034891570454793908</v>
      </c>
      <c r="Y91" s="37">
        <f>'Vehicle Counts'!I91*N91</f>
        <v>0.023676422808610157</v>
      </c>
      <c r="Z91" s="37">
        <f>'Vehicle Counts'!I91*O91</f>
        <v>0.1210338733976151</v>
      </c>
      <c r="AA91" s="37">
        <f>'Vehicle Counts'!I91*P91</f>
        <v>0.06703058368482073</v>
      </c>
      <c r="AB91" s="37">
        <f>'Vehicle Counts'!I91*S91</f>
        <v>0.09153423439922727</v>
      </c>
      <c r="AC91" s="37">
        <f>'Vehicle Counts'!I91*V91</f>
        <v>0.3984268430232916</v>
      </c>
    </row>
    <row r="92" spans="1:29" ht="12.75">
      <c r="A92" s="3"/>
      <c r="B92" s="3"/>
      <c r="C92">
        <v>17</v>
      </c>
      <c r="D92">
        <v>14</v>
      </c>
      <c r="E92">
        <v>1757</v>
      </c>
      <c r="F92" s="2">
        <f t="shared" si="10"/>
        <v>1302</v>
      </c>
      <c r="G92">
        <v>455</v>
      </c>
      <c r="H92">
        <v>812</v>
      </c>
      <c r="I92">
        <v>3</v>
      </c>
      <c r="J92">
        <f>IF(I92=1,'User Input and Results'!B$78,IF(I92=2,'User Input and Results'!B$79,IF(I92=3,'User Input and Results'!B$80,'User Input and Results'!B$81)))</f>
        <v>275</v>
      </c>
      <c r="K92">
        <f>IF(I92=1,'User Input and Results'!C$78,IF(I92=2,'User Input and Results'!C$79,IF(I92=3,'User Input and Results'!C$80,'User Input and Results'!C$81)))</f>
        <v>475</v>
      </c>
      <c r="M92" s="37">
        <f t="shared" si="16"/>
        <v>0.058823529411764705</v>
      </c>
      <c r="N92" s="13">
        <f t="shared" si="11"/>
        <v>0.2142857142857142</v>
      </c>
      <c r="O92" s="13">
        <f t="shared" si="12"/>
        <v>1.86</v>
      </c>
      <c r="P92" s="13">
        <f t="shared" si="13"/>
        <v>1.011111111111111</v>
      </c>
      <c r="Q92" s="13">
        <f>(1-FiveYearRepair)*100*'Cost Data and Calculations'!$H92/56000</f>
        <v>0.725</v>
      </c>
      <c r="R92" s="13">
        <f>FiveYearRepair*100*'Cost Data and Calculations'!$H92/14000</f>
        <v>2.9</v>
      </c>
      <c r="S92" s="13">
        <f t="shared" si="14"/>
        <v>1.21075</v>
      </c>
      <c r="T92" s="13">
        <f>100*'Cost Data and Calculations'!J92/5000</f>
        <v>5.5</v>
      </c>
      <c r="U92" s="13">
        <f>100*'Cost Data and Calculations'!K92/5000</f>
        <v>9.5</v>
      </c>
      <c r="V92" s="13">
        <f t="shared" si="15"/>
        <v>8.18</v>
      </c>
      <c r="X92" s="37">
        <f>'Vehicle Counts'!I92*M92</f>
        <v>0.0029247345822400773</v>
      </c>
      <c r="Y92" s="37">
        <f>'Vehicle Counts'!I92*N92</f>
        <v>0.010654390263874564</v>
      </c>
      <c r="Z92" s="37">
        <f>'Vehicle Counts'!I92*O92</f>
        <v>0.09248010749043126</v>
      </c>
      <c r="AA92" s="37">
        <f>'Vehicle Counts'!I92*P92</f>
        <v>0.050272937763615556</v>
      </c>
      <c r="AB92" s="37">
        <f>'Vehicle Counts'!I92*S92</f>
        <v>0.06019908072260195</v>
      </c>
      <c r="AC92" s="37">
        <f>'Vehicle Counts'!I92*V92</f>
        <v>0.40671359100630516</v>
      </c>
    </row>
    <row r="93" spans="1:29" ht="12.75">
      <c r="A93" s="3"/>
      <c r="B93" s="3"/>
      <c r="C93">
        <v>14</v>
      </c>
      <c r="D93">
        <v>10</v>
      </c>
      <c r="E93">
        <v>2025</v>
      </c>
      <c r="F93" s="2">
        <f t="shared" si="10"/>
        <v>1550</v>
      </c>
      <c r="G93">
        <v>475</v>
      </c>
      <c r="H93">
        <v>1007</v>
      </c>
      <c r="I93">
        <v>3</v>
      </c>
      <c r="J93">
        <f>IF(I93=1,'User Input and Results'!B$78,IF(I93=2,'User Input and Results'!B$79,IF(I93=3,'User Input and Results'!B$80,'User Input and Results'!B$81)))</f>
        <v>275</v>
      </c>
      <c r="K93">
        <f>IF(I93=1,'User Input and Results'!C$78,IF(I93=2,'User Input and Results'!C$79,IF(I93=3,'User Input and Results'!C$80,'User Input and Results'!C$81)))</f>
        <v>475</v>
      </c>
      <c r="M93" s="37">
        <f t="shared" si="16"/>
        <v>0.07142857142857142</v>
      </c>
      <c r="N93" s="13">
        <f t="shared" si="11"/>
        <v>0.3999999999999999</v>
      </c>
      <c r="O93" s="13">
        <f t="shared" si="12"/>
        <v>2.2142857142857144</v>
      </c>
      <c r="P93" s="13">
        <f t="shared" si="13"/>
        <v>1.0555555555555556</v>
      </c>
      <c r="Q93" s="13">
        <f>(1-FiveYearRepair)*100*'Cost Data and Calculations'!$H93/56000</f>
        <v>0.8991071428571429</v>
      </c>
      <c r="R93" s="13">
        <f>FiveYearRepair*100*'Cost Data and Calculations'!$H93/14000</f>
        <v>3.5964285714285715</v>
      </c>
      <c r="S93" s="13">
        <f t="shared" si="14"/>
        <v>1.5015089285714285</v>
      </c>
      <c r="T93" s="13">
        <f>100*'Cost Data and Calculations'!J93/5000</f>
        <v>5.5</v>
      </c>
      <c r="U93" s="13">
        <f>100*'Cost Data and Calculations'!K93/5000</f>
        <v>9.5</v>
      </c>
      <c r="V93" s="13">
        <f t="shared" si="15"/>
        <v>8.18</v>
      </c>
      <c r="X93" s="37">
        <f>'Vehicle Counts'!I93*M93</f>
        <v>0.002367642280861015</v>
      </c>
      <c r="Y93" s="37">
        <f>'Vehicle Counts'!I93*N93</f>
        <v>0.013258796772821681</v>
      </c>
      <c r="Z93" s="37">
        <f>'Vehicle Counts'!I93*O93</f>
        <v>0.07339691070669148</v>
      </c>
      <c r="AA93" s="37">
        <f>'Vehicle Counts'!I93*P93</f>
        <v>0.034988491483835</v>
      </c>
      <c r="AB93" s="37">
        <f>'Vehicle Counts'!I93*S93</f>
        <v>0.0497705043412645</v>
      </c>
      <c r="AC93" s="37">
        <f>'Vehicle Counts'!I93*V93</f>
        <v>0.2711423940042034</v>
      </c>
    </row>
    <row r="94" spans="1:29" ht="12.75">
      <c r="A94" s="3"/>
      <c r="B94" s="3"/>
      <c r="C94">
        <v>21</v>
      </c>
      <c r="D94">
        <v>18</v>
      </c>
      <c r="E94">
        <v>1690</v>
      </c>
      <c r="F94" s="2">
        <f t="shared" si="10"/>
        <v>1223</v>
      </c>
      <c r="G94">
        <v>467</v>
      </c>
      <c r="H94">
        <v>768</v>
      </c>
      <c r="I94">
        <v>2</v>
      </c>
      <c r="J94">
        <f>IF(I94=1,'User Input and Results'!B$78,IF(I94=2,'User Input and Results'!B$79,IF(I94=3,'User Input and Results'!B$80,'User Input and Results'!B$81)))</f>
        <v>200</v>
      </c>
      <c r="K94">
        <f>IF(I94=1,'User Input and Results'!C$78,IF(I94=2,'User Input and Results'!C$79,IF(I94=3,'User Input and Results'!C$80,'User Input and Results'!C$81)))</f>
        <v>350</v>
      </c>
      <c r="M94" s="37">
        <f t="shared" si="16"/>
        <v>0.047619047619047616</v>
      </c>
      <c r="N94" s="13">
        <f t="shared" si="11"/>
        <v>0.16666666666666674</v>
      </c>
      <c r="O94" s="13">
        <f t="shared" si="12"/>
        <v>1.747142857142857</v>
      </c>
      <c r="P94" s="13">
        <f t="shared" si="13"/>
        <v>1.0377777777777777</v>
      </c>
      <c r="Q94" s="13">
        <f>(1-FiveYearRepair)*100*'Cost Data and Calculations'!$H94/56000</f>
        <v>0.6857142857142857</v>
      </c>
      <c r="R94" s="13">
        <f>FiveYearRepair*100*'Cost Data and Calculations'!$H94/14000</f>
        <v>2.742857142857143</v>
      </c>
      <c r="S94" s="13">
        <f t="shared" si="14"/>
        <v>1.145142857142857</v>
      </c>
      <c r="T94" s="13">
        <f>100*'Cost Data and Calculations'!J94/5000</f>
        <v>4</v>
      </c>
      <c r="U94" s="13">
        <f>100*'Cost Data and Calculations'!K94/5000</f>
        <v>7</v>
      </c>
      <c r="V94" s="13">
        <f t="shared" si="15"/>
        <v>6.01</v>
      </c>
      <c r="X94" s="37">
        <f>'Vehicle Counts'!I94*M94</f>
        <v>0.0015784281872406767</v>
      </c>
      <c r="Y94" s="37">
        <f>'Vehicle Counts'!I94*N94</f>
        <v>0.005524498655342371</v>
      </c>
      <c r="Z94" s="37">
        <f>'Vehicle Counts'!I94*O94</f>
        <v>0.05791253018986043</v>
      </c>
      <c r="AA94" s="37">
        <f>'Vehicle Counts'!I94*P94</f>
        <v>0.03439921162726515</v>
      </c>
      <c r="AB94" s="37">
        <f>'Vehicle Counts'!I94*S94</f>
        <v>0.03795804104676379</v>
      </c>
      <c r="AC94" s="37">
        <f>'Vehicle Counts'!I94*V94</f>
        <v>0.1992134215116458</v>
      </c>
    </row>
    <row r="95" spans="1:29" ht="12.75">
      <c r="A95" s="3"/>
      <c r="B95" s="3"/>
      <c r="C95">
        <v>23</v>
      </c>
      <c r="D95">
        <v>17</v>
      </c>
      <c r="E95">
        <v>1683</v>
      </c>
      <c r="F95" s="2">
        <f t="shared" si="10"/>
        <v>1248</v>
      </c>
      <c r="G95">
        <v>435</v>
      </c>
      <c r="H95">
        <v>884</v>
      </c>
      <c r="I95">
        <v>2</v>
      </c>
      <c r="J95">
        <f>IF(I95=1,'User Input and Results'!B$78,IF(I95=2,'User Input and Results'!B$79,IF(I95=3,'User Input and Results'!B$80,'User Input and Results'!B$81)))</f>
        <v>200</v>
      </c>
      <c r="K95">
        <f>IF(I95=1,'User Input and Results'!C$78,IF(I95=2,'User Input and Results'!C$79,IF(I95=3,'User Input and Results'!C$80,'User Input and Results'!C$81)))</f>
        <v>350</v>
      </c>
      <c r="M95" s="37">
        <f>1/C95</f>
        <v>0.043478260869565216</v>
      </c>
      <c r="N95" s="13">
        <f t="shared" si="11"/>
        <v>0.3529411764705883</v>
      </c>
      <c r="O95" s="13">
        <f t="shared" si="12"/>
        <v>1.782857142857143</v>
      </c>
      <c r="P95" s="13">
        <f t="shared" si="13"/>
        <v>0.9666666666666667</v>
      </c>
      <c r="Q95" s="13">
        <f>(1-FiveYearRepair)*100*'Cost Data and Calculations'!$H95/56000</f>
        <v>0.7892857142857143</v>
      </c>
      <c r="R95" s="13">
        <f>FiveYearRepair*100*'Cost Data and Calculations'!$H95/14000</f>
        <v>3.157142857142857</v>
      </c>
      <c r="S95" s="13">
        <f t="shared" si="14"/>
        <v>1.3181071428571425</v>
      </c>
      <c r="T95" s="13">
        <f>100*'Cost Data and Calculations'!J95/5000</f>
        <v>4</v>
      </c>
      <c r="U95" s="13">
        <f>100*'Cost Data and Calculations'!K95/5000</f>
        <v>7</v>
      </c>
      <c r="V95" s="13">
        <f t="shared" si="15"/>
        <v>6.01</v>
      </c>
      <c r="X95" s="37">
        <f>'Vehicle Counts'!I95*M95</f>
        <v>0.00216176034339484</v>
      </c>
      <c r="Y95" s="37">
        <f>'Vehicle Counts'!I95*N95</f>
        <v>0.017548407493440468</v>
      </c>
      <c r="Z95" s="37">
        <f>'Vehicle Counts'!I95*O95</f>
        <v>0.08864452699543642</v>
      </c>
      <c r="AA95" s="37">
        <f>'Vehicle Counts'!I95*P95</f>
        <v>0.04806313830147861</v>
      </c>
      <c r="AB95" s="37">
        <f>'Vehicle Counts'!I95*S95</f>
        <v>0.0655369302448031</v>
      </c>
      <c r="AC95" s="37">
        <f>'Vehicle Counts'!I95*V95</f>
        <v>0.29882013226746873</v>
      </c>
    </row>
    <row r="96" spans="1:29" ht="12.75">
      <c r="A96" s="3"/>
      <c r="B96" s="3"/>
      <c r="F96" s="2">
        <f t="shared" si="10"/>
        <v>0</v>
      </c>
      <c r="M96" s="37"/>
      <c r="N96" s="13"/>
      <c r="O96" s="13"/>
      <c r="P96" s="13"/>
      <c r="Q96" s="13"/>
      <c r="R96" s="13"/>
      <c r="S96" s="13"/>
      <c r="T96" s="13"/>
      <c r="U96" s="13"/>
      <c r="V96" s="13"/>
      <c r="X96" s="37"/>
      <c r="Y96" s="37"/>
      <c r="Z96" s="37"/>
      <c r="AA96" s="37"/>
      <c r="AB96" s="37"/>
      <c r="AC96" s="37"/>
    </row>
    <row r="97" spans="1:29" ht="12.75">
      <c r="A97" s="3"/>
      <c r="B97" s="3"/>
      <c r="C97">
        <v>20</v>
      </c>
      <c r="D97">
        <v>15</v>
      </c>
      <c r="E97">
        <v>1843</v>
      </c>
      <c r="F97" s="2">
        <f t="shared" si="10"/>
        <v>1404</v>
      </c>
      <c r="G97">
        <v>439</v>
      </c>
      <c r="H97">
        <v>819</v>
      </c>
      <c r="I97">
        <v>2</v>
      </c>
      <c r="J97">
        <f>IF(I97=1,'User Input and Results'!B$78,IF(I97=2,'User Input and Results'!B$79,IF(I97=3,'User Input and Results'!B$80,'User Input and Results'!B$81)))</f>
        <v>200</v>
      </c>
      <c r="K97">
        <f>IF(I97=1,'User Input and Results'!C$78,IF(I97=2,'User Input and Results'!C$79,IF(I97=3,'User Input and Results'!C$80,'User Input and Results'!C$81)))</f>
        <v>350</v>
      </c>
      <c r="M97" s="37">
        <f>1/C97</f>
        <v>0.05</v>
      </c>
      <c r="N97" s="13">
        <f t="shared" si="11"/>
        <v>0.33333333333333326</v>
      </c>
      <c r="O97" s="13">
        <f t="shared" si="12"/>
        <v>2.005714285714286</v>
      </c>
      <c r="P97" s="13">
        <f t="shared" si="13"/>
        <v>0.9755555555555555</v>
      </c>
      <c r="Q97" s="13">
        <f>(1-FiveYearRepair)*100*'Cost Data and Calculations'!$H97/56000</f>
        <v>0.73125</v>
      </c>
      <c r="R97" s="13">
        <f>FiveYearRepair*100*'Cost Data and Calculations'!$H97/14000</f>
        <v>2.925</v>
      </c>
      <c r="S97" s="13">
        <f t="shared" si="14"/>
        <v>1.2211874999999999</v>
      </c>
      <c r="T97" s="13">
        <f>100*'Cost Data and Calculations'!J97/5000</f>
        <v>4</v>
      </c>
      <c r="U97" s="13">
        <f>100*'Cost Data and Calculations'!K97/5000</f>
        <v>7</v>
      </c>
      <c r="V97" s="13">
        <f t="shared" si="15"/>
        <v>6.01</v>
      </c>
      <c r="X97" s="37">
        <f>'Vehicle Counts'!I97*M97</f>
        <v>0.0002523929564183005</v>
      </c>
      <c r="Y97" s="37">
        <f>'Vehicle Counts'!I97*N97</f>
        <v>0.0016826197094553363</v>
      </c>
      <c r="Z97" s="37">
        <f>'Vehicle Counts'!I97*O97</f>
        <v>0.010124563166036969</v>
      </c>
      <c r="AA97" s="37">
        <f>'Vehicle Counts'!I97*P97</f>
        <v>0.004924467016339285</v>
      </c>
      <c r="AB97" s="37">
        <f>'Vehicle Counts'!I97*S97</f>
        <v>0.006164382469321466</v>
      </c>
      <c r="AC97" s="37">
        <f>'Vehicle Counts'!I97*V97</f>
        <v>0.030337633361479717</v>
      </c>
    </row>
    <row r="98" spans="1:29" ht="12.75">
      <c r="A98" s="3"/>
      <c r="B98" s="3"/>
      <c r="C98">
        <v>20</v>
      </c>
      <c r="D98">
        <v>16</v>
      </c>
      <c r="E98">
        <v>1547</v>
      </c>
      <c r="F98" s="2">
        <f t="shared" si="10"/>
        <v>1132</v>
      </c>
      <c r="G98">
        <v>415</v>
      </c>
      <c r="H98">
        <v>730</v>
      </c>
      <c r="I98">
        <v>2</v>
      </c>
      <c r="J98">
        <f>IF(I98=1,'User Input and Results'!B$78,IF(I98=2,'User Input and Results'!B$79,IF(I98=3,'User Input and Results'!B$80,'User Input and Results'!B$81)))</f>
        <v>200</v>
      </c>
      <c r="K98">
        <f>IF(I98=1,'User Input and Results'!C$78,IF(I98=2,'User Input and Results'!C$79,IF(I98=3,'User Input and Results'!C$80,'User Input and Results'!C$81)))</f>
        <v>350</v>
      </c>
      <c r="M98" s="37">
        <f>1/C98</f>
        <v>0.05</v>
      </c>
      <c r="N98" s="13">
        <f t="shared" si="11"/>
        <v>0.25</v>
      </c>
      <c r="O98" s="13">
        <f t="shared" si="12"/>
        <v>1.6171428571428572</v>
      </c>
      <c r="P98" s="13">
        <f t="shared" si="13"/>
        <v>0.9222222222222223</v>
      </c>
      <c r="Q98" s="13">
        <f>(1-FiveYearRepair)*100*'Cost Data and Calculations'!$H98/56000</f>
        <v>0.6517857142857143</v>
      </c>
      <c r="R98" s="13">
        <f>FiveYearRepair*100*'Cost Data and Calculations'!$H98/14000</f>
        <v>2.607142857142857</v>
      </c>
      <c r="S98" s="13">
        <f t="shared" si="14"/>
        <v>1.0884821428571427</v>
      </c>
      <c r="T98" s="13">
        <f>100*'Cost Data and Calculations'!J98/5000</f>
        <v>4</v>
      </c>
      <c r="U98" s="13">
        <f>100*'Cost Data and Calculations'!K98/5000</f>
        <v>7</v>
      </c>
      <c r="V98" s="13">
        <f t="shared" si="15"/>
        <v>6.01</v>
      </c>
      <c r="X98" s="37">
        <f>'Vehicle Counts'!I98*M98</f>
        <v>0.00010816840989355737</v>
      </c>
      <c r="Y98" s="37">
        <f>'Vehicle Counts'!I98*N98</f>
        <v>0.0005408420494677868</v>
      </c>
      <c r="Z98" s="37">
        <f>'Vehicle Counts'!I98*O98</f>
        <v>0.003498475428557341</v>
      </c>
      <c r="AA98" s="37">
        <f>'Vehicle Counts'!I98*P98</f>
        <v>0.0019951062269256137</v>
      </c>
      <c r="AB98" s="37">
        <f>'Vehicle Counts'!I98*S98</f>
        <v>0.0023547876518077815</v>
      </c>
      <c r="AC98" s="37">
        <f>'Vehicle Counts'!I98*V98</f>
        <v>0.013001842869205594</v>
      </c>
    </row>
    <row r="99" spans="1:29" ht="12.75">
      <c r="A99" s="3"/>
      <c r="B99" s="3"/>
      <c r="F99" s="2">
        <f t="shared" si="10"/>
        <v>0</v>
      </c>
      <c r="M99" s="37"/>
      <c r="N99" s="13"/>
      <c r="O99" s="13"/>
      <c r="P99" s="13"/>
      <c r="Q99" s="13"/>
      <c r="R99" s="13"/>
      <c r="S99" s="13"/>
      <c r="T99" s="13"/>
      <c r="U99" s="13"/>
      <c r="V99" s="13"/>
      <c r="X99" s="37"/>
      <c r="Y99" s="37"/>
      <c r="Z99" s="37"/>
      <c r="AA99" s="37"/>
      <c r="AB99" s="37"/>
      <c r="AC99" s="37"/>
    </row>
    <row r="100" spans="1:29" ht="12.75">
      <c r="A100" s="3"/>
      <c r="B100" s="3"/>
      <c r="C100">
        <v>16</v>
      </c>
      <c r="D100">
        <v>12</v>
      </c>
      <c r="E100">
        <v>1429</v>
      </c>
      <c r="F100" s="2">
        <f t="shared" si="10"/>
        <v>818</v>
      </c>
      <c r="G100">
        <v>611</v>
      </c>
      <c r="H100">
        <v>965</v>
      </c>
      <c r="I100">
        <v>4</v>
      </c>
      <c r="J100">
        <f>IF(I100=1,'User Input and Results'!B$78,IF(I100=2,'User Input and Results'!B$79,IF(I100=3,'User Input and Results'!B$80,'User Input and Results'!B$81)))</f>
        <v>325</v>
      </c>
      <c r="K100">
        <f>IF(I100=1,'User Input and Results'!C$78,IF(I100=2,'User Input and Results'!C$79,IF(I100=3,'User Input and Results'!C$80,'User Input and Results'!C$81)))</f>
        <v>575</v>
      </c>
      <c r="M100" s="37">
        <f>1/C100</f>
        <v>0.0625</v>
      </c>
      <c r="N100" s="13">
        <f t="shared" si="11"/>
        <v>0.33333333333333326</v>
      </c>
      <c r="O100" s="13">
        <f t="shared" si="12"/>
        <v>1.1685714285714286</v>
      </c>
      <c r="P100" s="13">
        <f t="shared" si="13"/>
        <v>1.3577777777777778</v>
      </c>
      <c r="Q100" s="13">
        <f>(1-FiveYearRepair)*100*'Cost Data and Calculations'!$H100/56000</f>
        <v>0.8616071428571429</v>
      </c>
      <c r="R100" s="13">
        <f>FiveYearRepair*100*'Cost Data and Calculations'!$H100/14000</f>
        <v>3.4464285714285716</v>
      </c>
      <c r="S100" s="13">
        <f t="shared" si="14"/>
        <v>1.4388839285714283</v>
      </c>
      <c r="T100" s="13">
        <f>100*'Cost Data and Calculations'!J100/5000</f>
        <v>6.5</v>
      </c>
      <c r="U100" s="13">
        <f>100*'Cost Data and Calculations'!K100/5000</f>
        <v>11.5</v>
      </c>
      <c r="V100" s="13">
        <f t="shared" si="15"/>
        <v>9.85</v>
      </c>
      <c r="X100" s="37">
        <f>'Vehicle Counts'!I100*M100</f>
        <v>0.00018490326477531172</v>
      </c>
      <c r="Y100" s="37">
        <f>'Vehicle Counts'!I100*N100</f>
        <v>0.0009861507454683289</v>
      </c>
      <c r="Z100" s="37">
        <f>'Vehicle Counts'!I100*O100</f>
        <v>0.003457162756256114</v>
      </c>
      <c r="AA100" s="37">
        <f>'Vehicle Counts'!I100*P100</f>
        <v>0.004016920703207661</v>
      </c>
      <c r="AB100" s="37">
        <f>'Vehicle Counts'!I100*S100</f>
        <v>0.004256869376409337</v>
      </c>
      <c r="AC100" s="37">
        <f>'Vehicle Counts'!I100*V100</f>
        <v>0.029140754528589125</v>
      </c>
    </row>
    <row r="101" spans="1:29" ht="12.75">
      <c r="A101" s="3"/>
      <c r="B101" s="3"/>
      <c r="F101" s="2">
        <f t="shared" si="10"/>
        <v>0</v>
      </c>
      <c r="M101" s="37"/>
      <c r="N101" s="13"/>
      <c r="O101" s="13"/>
      <c r="P101" s="13"/>
      <c r="Q101" s="13"/>
      <c r="R101" s="13"/>
      <c r="S101" s="13"/>
      <c r="T101" s="13"/>
      <c r="U101" s="13"/>
      <c r="V101" s="13"/>
      <c r="X101" s="37"/>
      <c r="Y101" s="37"/>
      <c r="Z101" s="37"/>
      <c r="AA101" s="37"/>
      <c r="AB101" s="37"/>
      <c r="AC101" s="37"/>
    </row>
    <row r="102" spans="1:29" ht="12.75">
      <c r="A102" s="3"/>
      <c r="B102" s="3"/>
      <c r="C102">
        <v>23</v>
      </c>
      <c r="D102">
        <v>17</v>
      </c>
      <c r="E102">
        <v>1641</v>
      </c>
      <c r="F102" s="2">
        <f aca="true" t="shared" si="17" ref="F102:F133">E102-G102</f>
        <v>1286</v>
      </c>
      <c r="G102">
        <v>355</v>
      </c>
      <c r="H102">
        <v>761</v>
      </c>
      <c r="I102">
        <v>2</v>
      </c>
      <c r="J102">
        <f>IF(I102=1,'User Input and Results'!B$78,IF(I102=2,'User Input and Results'!B$79,IF(I102=3,'User Input and Results'!B$80,'User Input and Results'!B$81)))</f>
        <v>200</v>
      </c>
      <c r="K102">
        <f>IF(I102=1,'User Input and Results'!C$78,IF(I102=2,'User Input and Results'!C$79,IF(I102=3,'User Input and Results'!C$80,'User Input and Results'!C$81)))</f>
        <v>350</v>
      </c>
      <c r="M102" s="37">
        <f>1/C102</f>
        <v>0.043478260869565216</v>
      </c>
      <c r="N102" s="13">
        <f t="shared" si="11"/>
        <v>0.3529411764705883</v>
      </c>
      <c r="O102" s="13">
        <f t="shared" si="12"/>
        <v>1.8371428571428572</v>
      </c>
      <c r="P102" s="13">
        <f t="shared" si="13"/>
        <v>0.7888888888888889</v>
      </c>
      <c r="Q102" s="13">
        <f>(1-FiveYearRepair)*100*'Cost Data and Calculations'!$H102/56000</f>
        <v>0.6794642857142857</v>
      </c>
      <c r="R102" s="13">
        <f>FiveYearRepair*100*'Cost Data and Calculations'!$H102/14000</f>
        <v>2.717857142857143</v>
      </c>
      <c r="S102" s="13">
        <f t="shared" si="14"/>
        <v>1.1347053571428571</v>
      </c>
      <c r="T102" s="13">
        <f>100*'Cost Data and Calculations'!J102/5000</f>
        <v>4</v>
      </c>
      <c r="U102" s="13">
        <f>100*'Cost Data and Calculations'!K102/5000</f>
        <v>7</v>
      </c>
      <c r="V102" s="13">
        <f t="shared" si="15"/>
        <v>6.01</v>
      </c>
      <c r="X102" s="37">
        <f>'Vehicle Counts'!I102*M102</f>
        <v>0.0005305919771813293</v>
      </c>
      <c r="Y102" s="37">
        <f>'Vehicle Counts'!I102*N102</f>
        <v>0.00430715840300138</v>
      </c>
      <c r="Z102" s="37">
        <f>'Vehicle Counts'!I102*O102</f>
        <v>0.022419785001527654</v>
      </c>
      <c r="AA102" s="37">
        <f>'Vehicle Counts'!I102*P102</f>
        <v>0.009627296652634563</v>
      </c>
      <c r="AB102" s="37">
        <f>'Vehicle Counts'!I102*S102</f>
        <v>0.013847507856187524</v>
      </c>
      <c r="AC102" s="37">
        <f>'Vehicle Counts'!I102*V102</f>
        <v>0.07334372900577514</v>
      </c>
    </row>
    <row r="103" spans="1:29" ht="12.75">
      <c r="A103" s="3"/>
      <c r="F103" s="2">
        <f t="shared" si="17"/>
        <v>0</v>
      </c>
      <c r="M103" s="37"/>
      <c r="N103" s="13"/>
      <c r="O103" s="13"/>
      <c r="P103" s="13"/>
      <c r="Q103" s="13"/>
      <c r="R103" s="13"/>
      <c r="S103" s="13"/>
      <c r="T103" s="13"/>
      <c r="U103" s="13"/>
      <c r="V103" s="13"/>
      <c r="X103" s="37"/>
      <c r="Y103" s="37"/>
      <c r="Z103" s="37"/>
      <c r="AA103" s="37"/>
      <c r="AB103" s="37"/>
      <c r="AC103" s="37"/>
    </row>
    <row r="104" spans="1:29" ht="12.75">
      <c r="A104" s="3"/>
      <c r="B104" s="3"/>
      <c r="C104">
        <v>15</v>
      </c>
      <c r="D104">
        <v>12</v>
      </c>
      <c r="E104">
        <v>3572</v>
      </c>
      <c r="F104" s="2">
        <f t="shared" si="17"/>
        <v>2979</v>
      </c>
      <c r="G104">
        <v>593</v>
      </c>
      <c r="H104">
        <v>1119</v>
      </c>
      <c r="I104">
        <v>4</v>
      </c>
      <c r="J104">
        <f>IF(I104=1,'User Input and Results'!B$78,IF(I104=2,'User Input and Results'!B$79,IF(I104=3,'User Input and Results'!B$80,'User Input and Results'!B$81)))</f>
        <v>325</v>
      </c>
      <c r="K104">
        <f>IF(I104=1,'User Input and Results'!C$78,IF(I104=2,'User Input and Results'!C$79,IF(I104=3,'User Input and Results'!C$80,'User Input and Results'!C$81)))</f>
        <v>575</v>
      </c>
      <c r="M104" s="37">
        <f>1/C104</f>
        <v>0.06666666666666667</v>
      </c>
      <c r="N104" s="13">
        <f t="shared" si="11"/>
        <v>0.25</v>
      </c>
      <c r="O104" s="13">
        <f t="shared" si="12"/>
        <v>4.255714285714285</v>
      </c>
      <c r="P104" s="13">
        <f t="shared" si="13"/>
        <v>1.3177777777777777</v>
      </c>
      <c r="Q104" s="13">
        <f>(1-FiveYearRepair)*100*'Cost Data and Calculations'!$H104/56000</f>
        <v>0.9991071428571429</v>
      </c>
      <c r="R104" s="13">
        <f>FiveYearRepair*100*'Cost Data and Calculations'!$H104/14000</f>
        <v>3.9964285714285714</v>
      </c>
      <c r="S104" s="13">
        <f t="shared" si="14"/>
        <v>1.6685089285714285</v>
      </c>
      <c r="T104" s="13">
        <f>100*'Cost Data and Calculations'!J104/5000</f>
        <v>6.5</v>
      </c>
      <c r="U104" s="13">
        <f>100*'Cost Data and Calculations'!K104/5000</f>
        <v>11.5</v>
      </c>
      <c r="V104" s="13">
        <f t="shared" si="15"/>
        <v>9.85</v>
      </c>
      <c r="X104" s="37">
        <f>'Vehicle Counts'!I104*M104</f>
        <v>0.0001150509203046384</v>
      </c>
      <c r="Y104" s="37">
        <f>'Vehicle Counts'!I104*N104</f>
        <v>0.000431440951142394</v>
      </c>
      <c r="Z104" s="37">
        <f>'Vehicle Counts'!I104*O104</f>
        <v>0.0073443576768753805</v>
      </c>
      <c r="AA104" s="37">
        <f>'Vehicle Counts'!I104*P104</f>
        <v>0.002274173191355019</v>
      </c>
      <c r="AB104" s="37">
        <f>'Vehicle Counts'!I104*S104</f>
        <v>0.0028794523165297354</v>
      </c>
      <c r="AC104" s="37">
        <f>'Vehicle Counts'!I104*V104</f>
        <v>0.016998773475010324</v>
      </c>
    </row>
    <row r="105" spans="1:29" ht="12.75">
      <c r="A105" s="3"/>
      <c r="B105" s="3"/>
      <c r="F105" s="2">
        <f t="shared" si="17"/>
        <v>0</v>
      </c>
      <c r="M105" s="37"/>
      <c r="N105" s="13"/>
      <c r="O105" s="13"/>
      <c r="P105" s="13"/>
      <c r="Q105" s="13"/>
      <c r="R105" s="13"/>
      <c r="S105" s="13"/>
      <c r="T105" s="13"/>
      <c r="U105" s="13"/>
      <c r="V105" s="13"/>
      <c r="X105" s="37"/>
      <c r="Y105" s="37"/>
      <c r="Z105" s="37"/>
      <c r="AA105" s="37"/>
      <c r="AB105" s="37"/>
      <c r="AC105" s="37"/>
    </row>
    <row r="106" spans="1:29" ht="12.75">
      <c r="A106" s="3"/>
      <c r="B106" s="3"/>
      <c r="C106">
        <v>20</v>
      </c>
      <c r="D106">
        <v>15</v>
      </c>
      <c r="E106">
        <v>1951</v>
      </c>
      <c r="F106" s="2">
        <f t="shared" si="17"/>
        <v>1604</v>
      </c>
      <c r="G106">
        <v>347</v>
      </c>
      <c r="H106">
        <v>750</v>
      </c>
      <c r="I106">
        <v>2</v>
      </c>
      <c r="J106">
        <f>IF(I106=1,'User Input and Results'!B$78,IF(I106=2,'User Input and Results'!B$79,IF(I106=3,'User Input and Results'!B$80,'User Input and Results'!B$81)))</f>
        <v>200</v>
      </c>
      <c r="K106">
        <f>IF(I106=1,'User Input and Results'!C$78,IF(I106=2,'User Input and Results'!C$79,IF(I106=3,'User Input and Results'!C$80,'User Input and Results'!C$81)))</f>
        <v>350</v>
      </c>
      <c r="M106" s="37">
        <f aca="true" t="shared" si="18" ref="M106:M114">1/C106</f>
        <v>0.05</v>
      </c>
      <c r="N106" s="13">
        <f t="shared" si="11"/>
        <v>0.33333333333333326</v>
      </c>
      <c r="O106" s="13">
        <f t="shared" si="12"/>
        <v>2.2914285714285714</v>
      </c>
      <c r="P106" s="13">
        <f t="shared" si="13"/>
        <v>0.7711111111111111</v>
      </c>
      <c r="Q106" s="13">
        <f>(1-FiveYearRepair)*100*'Cost Data and Calculations'!$H106/56000</f>
        <v>0.6696428571428571</v>
      </c>
      <c r="R106" s="13">
        <f>FiveYearRepair*100*'Cost Data and Calculations'!$H106/14000</f>
        <v>2.6785714285714284</v>
      </c>
      <c r="S106" s="13">
        <f t="shared" si="14"/>
        <v>1.1183035714285712</v>
      </c>
      <c r="T106" s="13">
        <f>100*'Cost Data and Calculations'!J106/5000</f>
        <v>4</v>
      </c>
      <c r="U106" s="13">
        <f>100*'Cost Data and Calculations'!K106/5000</f>
        <v>7</v>
      </c>
      <c r="V106" s="13">
        <f t="shared" si="15"/>
        <v>6.01</v>
      </c>
      <c r="X106" s="37">
        <f>'Vehicle Counts'!I106*M106</f>
        <v>0.0023344037177883106</v>
      </c>
      <c r="Y106" s="37">
        <f>'Vehicle Counts'!I106*N106</f>
        <v>0.015562691451922068</v>
      </c>
      <c r="Z106" s="37">
        <f>'Vehicle Counts'!I106*O106</f>
        <v>0.10698238752378429</v>
      </c>
      <c r="AA106" s="37">
        <f>'Vehicle Counts'!I106*P106</f>
        <v>0.03600169289211305</v>
      </c>
      <c r="AB106" s="37">
        <f>'Vehicle Counts'!I106*S106</f>
        <v>0.05221144029517604</v>
      </c>
      <c r="AC106" s="37">
        <f>'Vehicle Counts'!I106*V106</f>
        <v>0.2805953268781549</v>
      </c>
    </row>
    <row r="107" spans="1:29" ht="12.75">
      <c r="A107" s="3"/>
      <c r="B107" s="3"/>
      <c r="C107">
        <v>20</v>
      </c>
      <c r="D107">
        <v>15</v>
      </c>
      <c r="E107">
        <v>2713</v>
      </c>
      <c r="F107" s="2">
        <f t="shared" si="17"/>
        <v>2378</v>
      </c>
      <c r="G107">
        <v>335</v>
      </c>
      <c r="H107">
        <v>819</v>
      </c>
      <c r="I107">
        <v>2</v>
      </c>
      <c r="J107">
        <f>IF(I107=1,'User Input and Results'!B$78,IF(I107=2,'User Input and Results'!B$79,IF(I107=3,'User Input and Results'!B$80,'User Input and Results'!B$81)))</f>
        <v>200</v>
      </c>
      <c r="K107">
        <f>IF(I107=1,'User Input and Results'!C$78,IF(I107=2,'User Input and Results'!C$79,IF(I107=3,'User Input and Results'!C$80,'User Input and Results'!C$81)))</f>
        <v>350</v>
      </c>
      <c r="M107" s="37">
        <f t="shared" si="18"/>
        <v>0.05</v>
      </c>
      <c r="N107" s="13">
        <f t="shared" si="11"/>
        <v>0.33333333333333326</v>
      </c>
      <c r="O107" s="13">
        <f t="shared" si="12"/>
        <v>3.3971428571428572</v>
      </c>
      <c r="P107" s="13">
        <f t="shared" si="13"/>
        <v>0.7444444444444445</v>
      </c>
      <c r="Q107" s="13">
        <f>(1-FiveYearRepair)*100*'Cost Data and Calculations'!$H107/56000</f>
        <v>0.73125</v>
      </c>
      <c r="R107" s="13">
        <f>FiveYearRepair*100*'Cost Data and Calculations'!$H107/14000</f>
        <v>2.925</v>
      </c>
      <c r="S107" s="13">
        <f t="shared" si="14"/>
        <v>1.2211874999999999</v>
      </c>
      <c r="T107" s="13">
        <f>100*'Cost Data and Calculations'!J107/5000</f>
        <v>4</v>
      </c>
      <c r="U107" s="13">
        <f>100*'Cost Data and Calculations'!K107/5000</f>
        <v>7</v>
      </c>
      <c r="V107" s="13">
        <f t="shared" si="15"/>
        <v>6.01</v>
      </c>
      <c r="X107" s="37">
        <f>'Vehicle Counts'!I107*M107</f>
        <v>0.001556269145192207</v>
      </c>
      <c r="Y107" s="37">
        <f>'Vehicle Counts'!I107*N107</f>
        <v>0.010375127634614711</v>
      </c>
      <c r="Z107" s="37">
        <f>'Vehicle Counts'!I107*O107</f>
        <v>0.10573737220763052</v>
      </c>
      <c r="AA107" s="37">
        <f>'Vehicle Counts'!I107*P107</f>
        <v>0.023171118383972858</v>
      </c>
      <c r="AB107" s="37">
        <f>'Vehicle Counts'!I107*S107</f>
        <v>0.03800992853488816</v>
      </c>
      <c r="AC107" s="37">
        <f>'Vehicle Counts'!I107*V107</f>
        <v>0.18706355125210328</v>
      </c>
    </row>
    <row r="108" spans="1:29" ht="12.75">
      <c r="A108" s="3"/>
      <c r="B108" s="3"/>
      <c r="C108">
        <v>17</v>
      </c>
      <c r="D108">
        <v>13</v>
      </c>
      <c r="E108">
        <v>2707</v>
      </c>
      <c r="F108" s="2">
        <f t="shared" si="17"/>
        <v>2272</v>
      </c>
      <c r="G108">
        <v>435</v>
      </c>
      <c r="H108">
        <v>926</v>
      </c>
      <c r="I108">
        <v>3</v>
      </c>
      <c r="J108">
        <f>IF(I108=1,'User Input and Results'!B$78,IF(I108=2,'User Input and Results'!B$79,IF(I108=3,'User Input and Results'!B$80,'User Input and Results'!B$81)))</f>
        <v>275</v>
      </c>
      <c r="K108">
        <f>IF(I108=1,'User Input and Results'!C$78,IF(I108=2,'User Input and Results'!C$79,IF(I108=3,'User Input and Results'!C$80,'User Input and Results'!C$81)))</f>
        <v>475</v>
      </c>
      <c r="M108" s="37">
        <f t="shared" si="18"/>
        <v>0.058823529411764705</v>
      </c>
      <c r="N108" s="13">
        <f t="shared" si="11"/>
        <v>0.3076923076923077</v>
      </c>
      <c r="O108" s="13">
        <f t="shared" si="12"/>
        <v>3.2457142857142856</v>
      </c>
      <c r="P108" s="13">
        <f t="shared" si="13"/>
        <v>0.9666666666666667</v>
      </c>
      <c r="Q108" s="13">
        <f>(1-FiveYearRepair)*100*'Cost Data and Calculations'!$H108/56000</f>
        <v>0.8267857142857142</v>
      </c>
      <c r="R108" s="13">
        <f>FiveYearRepair*100*'Cost Data and Calculations'!$H108/14000</f>
        <v>3.307142857142857</v>
      </c>
      <c r="S108" s="13">
        <f t="shared" si="14"/>
        <v>1.3807321428571426</v>
      </c>
      <c r="T108" s="13">
        <f>100*'Cost Data and Calculations'!J108/5000</f>
        <v>5.5</v>
      </c>
      <c r="U108" s="13">
        <f>100*'Cost Data and Calculations'!K108/5000</f>
        <v>9.5</v>
      </c>
      <c r="V108" s="13">
        <f t="shared" si="15"/>
        <v>8.18</v>
      </c>
      <c r="X108" s="37">
        <f>'Vehicle Counts'!I108*M108</f>
        <v>0.000915452438348357</v>
      </c>
      <c r="Y108" s="37">
        <f>'Vehicle Counts'!I108*N108</f>
        <v>0.004788520446745252</v>
      </c>
      <c r="Z108" s="37">
        <f>'Vehicle Counts'!I108*O108</f>
        <v>0.05051204996966706</v>
      </c>
      <c r="AA108" s="37">
        <f>'Vehicle Counts'!I108*P108</f>
        <v>0.015043935070191333</v>
      </c>
      <c r="AB108" s="37">
        <f>'Vehicle Counts'!I108*S108</f>
        <v>0.021487908317036893</v>
      </c>
      <c r="AC108" s="37">
        <f>'Vehicle Counts'!I108*V108</f>
        <v>0.12730281607672253</v>
      </c>
    </row>
    <row r="109" spans="1:29" ht="12.75">
      <c r="A109" s="3"/>
      <c r="B109" s="3"/>
      <c r="C109">
        <v>28</v>
      </c>
      <c r="D109">
        <v>22</v>
      </c>
      <c r="E109">
        <v>1772</v>
      </c>
      <c r="F109" s="2">
        <f t="shared" si="17"/>
        <v>1437</v>
      </c>
      <c r="G109">
        <v>335</v>
      </c>
      <c r="H109">
        <v>645</v>
      </c>
      <c r="I109">
        <v>2</v>
      </c>
      <c r="J109">
        <f>IF(I109=1,'User Input and Results'!B$78,IF(I109=2,'User Input and Results'!B$79,IF(I109=3,'User Input and Results'!B$80,'User Input and Results'!B$81)))</f>
        <v>200</v>
      </c>
      <c r="K109">
        <f>IF(I109=1,'User Input and Results'!C$78,IF(I109=2,'User Input and Results'!C$79,IF(I109=3,'User Input and Results'!C$80,'User Input and Results'!C$81)))</f>
        <v>350</v>
      </c>
      <c r="M109" s="37">
        <f t="shared" si="18"/>
        <v>0.03571428571428571</v>
      </c>
      <c r="N109" s="13">
        <f t="shared" si="11"/>
        <v>0.2727272727272727</v>
      </c>
      <c r="O109" s="13">
        <f t="shared" si="12"/>
        <v>2.052857142857143</v>
      </c>
      <c r="P109" s="13">
        <f t="shared" si="13"/>
        <v>0.7444444444444445</v>
      </c>
      <c r="Q109" s="13">
        <f>(1-FiveYearRepair)*100*'Cost Data and Calculations'!$H109/56000</f>
        <v>0.5758928571428571</v>
      </c>
      <c r="R109" s="13">
        <f>FiveYearRepair*100*'Cost Data and Calculations'!$H109/14000</f>
        <v>2.3035714285714284</v>
      </c>
      <c r="S109" s="13">
        <f t="shared" si="14"/>
        <v>0.9617410714285712</v>
      </c>
      <c r="T109" s="13">
        <f>100*'Cost Data and Calculations'!J109/5000</f>
        <v>4</v>
      </c>
      <c r="U109" s="13">
        <f>100*'Cost Data and Calculations'!K109/5000</f>
        <v>7</v>
      </c>
      <c r="V109" s="13">
        <f t="shared" si="15"/>
        <v>6.01</v>
      </c>
      <c r="X109" s="37">
        <f>'Vehicle Counts'!I109*M109</f>
        <v>0.0005558104089972167</v>
      </c>
      <c r="Y109" s="37">
        <f>'Vehicle Counts'!I109*N109</f>
        <v>0.004244370395978746</v>
      </c>
      <c r="Z109" s="37">
        <f>'Vehicle Counts'!I109*O109</f>
        <v>0.031947982309160024</v>
      </c>
      <c r="AA109" s="37">
        <f>'Vehicle Counts'!I109*P109</f>
        <v>0.011585559191986429</v>
      </c>
      <c r="AB109" s="37">
        <f>'Vehicle Counts'!I109*S109</f>
        <v>0.014967279551283798</v>
      </c>
      <c r="AC109" s="37">
        <f>'Vehicle Counts'!I109*V109</f>
        <v>0.09353177562605164</v>
      </c>
    </row>
    <row r="110" spans="1:29" ht="12.75">
      <c r="A110" s="3"/>
      <c r="B110" s="3"/>
      <c r="C110">
        <v>18</v>
      </c>
      <c r="D110">
        <v>14</v>
      </c>
      <c r="E110">
        <v>3050</v>
      </c>
      <c r="F110" s="2">
        <f t="shared" si="17"/>
        <v>2583</v>
      </c>
      <c r="G110">
        <v>467</v>
      </c>
      <c r="H110">
        <v>847</v>
      </c>
      <c r="I110">
        <v>3</v>
      </c>
      <c r="J110">
        <f>IF(I110=1,'User Input and Results'!B$78,IF(I110=2,'User Input and Results'!B$79,IF(I110=3,'User Input and Results'!B$80,'User Input and Results'!B$81)))</f>
        <v>275</v>
      </c>
      <c r="K110">
        <f>IF(I110=1,'User Input and Results'!C$78,IF(I110=2,'User Input and Results'!C$79,IF(I110=3,'User Input and Results'!C$80,'User Input and Results'!C$81)))</f>
        <v>475</v>
      </c>
      <c r="M110" s="37">
        <f t="shared" si="18"/>
        <v>0.05555555555555555</v>
      </c>
      <c r="N110" s="13">
        <f t="shared" si="11"/>
        <v>0.2857142857142858</v>
      </c>
      <c r="O110" s="13">
        <f t="shared" si="12"/>
        <v>3.69</v>
      </c>
      <c r="P110" s="13">
        <f t="shared" si="13"/>
        <v>1.0377777777777777</v>
      </c>
      <c r="Q110" s="13">
        <f>(1-FiveYearRepair)*100*'Cost Data and Calculations'!$H110/56000</f>
        <v>0.75625</v>
      </c>
      <c r="R110" s="13">
        <f>FiveYearRepair*100*'Cost Data and Calculations'!$H110/14000</f>
        <v>3.025</v>
      </c>
      <c r="S110" s="13">
        <f t="shared" si="14"/>
        <v>1.2629374999999998</v>
      </c>
      <c r="T110" s="13">
        <f>100*'Cost Data and Calculations'!J110/5000</f>
        <v>5.5</v>
      </c>
      <c r="U110" s="13">
        <f>100*'Cost Data and Calculations'!K110/5000</f>
        <v>9.5</v>
      </c>
      <c r="V110" s="13">
        <f t="shared" si="15"/>
        <v>8.18</v>
      </c>
      <c r="X110" s="37">
        <f>'Vehicle Counts'!I110*M110</f>
        <v>0.00432296984775613</v>
      </c>
      <c r="Y110" s="37">
        <f>'Vehicle Counts'!I110*N110</f>
        <v>0.02223241635988868</v>
      </c>
      <c r="Z110" s="37">
        <f>'Vehicle Counts'!I110*O110</f>
        <v>0.2871316572879622</v>
      </c>
      <c r="AA110" s="37">
        <f>'Vehicle Counts'!I110*P110</f>
        <v>0.08075307675608451</v>
      </c>
      <c r="AB110" s="37">
        <f>'Vehicle Counts'!I110*S110</f>
        <v>0.09827353317780914</v>
      </c>
      <c r="AC110" s="37">
        <f>'Vehicle Counts'!I110*V110</f>
        <v>0.6365140803836127</v>
      </c>
    </row>
    <row r="111" spans="1:29" ht="12.75">
      <c r="A111" s="3"/>
      <c r="B111" s="3"/>
      <c r="C111">
        <v>18</v>
      </c>
      <c r="D111">
        <v>14</v>
      </c>
      <c r="E111">
        <v>2986</v>
      </c>
      <c r="F111" s="2">
        <f t="shared" si="17"/>
        <v>2431</v>
      </c>
      <c r="G111">
        <v>555</v>
      </c>
      <c r="H111">
        <v>1118</v>
      </c>
      <c r="I111">
        <v>4</v>
      </c>
      <c r="J111">
        <f>IF(I111=1,'User Input and Results'!B$78,IF(I111=2,'User Input and Results'!B$79,IF(I111=3,'User Input and Results'!B$80,'User Input and Results'!B$81)))</f>
        <v>325</v>
      </c>
      <c r="K111">
        <f>IF(I111=1,'User Input and Results'!C$78,IF(I111=2,'User Input and Results'!C$79,IF(I111=3,'User Input and Results'!C$80,'User Input and Results'!C$81)))</f>
        <v>575</v>
      </c>
      <c r="M111" s="37">
        <f t="shared" si="18"/>
        <v>0.05555555555555555</v>
      </c>
      <c r="N111" s="13">
        <f t="shared" si="11"/>
        <v>0.2857142857142858</v>
      </c>
      <c r="O111" s="13">
        <f t="shared" si="12"/>
        <v>3.472857142857143</v>
      </c>
      <c r="P111" s="13">
        <f t="shared" si="13"/>
        <v>1.2333333333333334</v>
      </c>
      <c r="Q111" s="13">
        <f>(1-FiveYearRepair)*100*'Cost Data and Calculations'!$H111/56000</f>
        <v>0.9982142857142857</v>
      </c>
      <c r="R111" s="13">
        <f>FiveYearRepair*100*'Cost Data and Calculations'!$H111/14000</f>
        <v>3.992857142857143</v>
      </c>
      <c r="S111" s="13">
        <f t="shared" si="14"/>
        <v>1.667017857142857</v>
      </c>
      <c r="T111" s="13">
        <f>100*'Cost Data and Calculations'!J111/5000</f>
        <v>6.5</v>
      </c>
      <c r="U111" s="13">
        <f>100*'Cost Data and Calculations'!K111/5000</f>
        <v>11.5</v>
      </c>
      <c r="V111" s="13">
        <f t="shared" si="15"/>
        <v>9.85</v>
      </c>
      <c r="X111" s="37">
        <f>'Vehicle Counts'!I111*M111</f>
        <v>0.0034583758782049043</v>
      </c>
      <c r="Y111" s="37">
        <f>'Vehicle Counts'!I111*N111</f>
        <v>0.017785933087910943</v>
      </c>
      <c r="Z111" s="37">
        <f>'Vehicle Counts'!I111*O111</f>
        <v>0.21618801668355744</v>
      </c>
      <c r="AA111" s="37">
        <f>'Vehicle Counts'!I111*P111</f>
        <v>0.07677594449614888</v>
      </c>
      <c r="AB111" s="37">
        <f>'Vehicle Counts'!I111*S111</f>
        <v>0.10377313822223434</v>
      </c>
      <c r="AC111" s="37">
        <f>'Vehicle Counts'!I111*V111</f>
        <v>0.6131700432057295</v>
      </c>
    </row>
    <row r="112" spans="1:29" ht="12.75">
      <c r="A112" s="3"/>
      <c r="B112" s="3"/>
      <c r="C112">
        <v>26</v>
      </c>
      <c r="D112">
        <v>23</v>
      </c>
      <c r="E112">
        <v>2770</v>
      </c>
      <c r="F112" s="2">
        <f t="shared" si="17"/>
        <v>2435</v>
      </c>
      <c r="G112">
        <v>335</v>
      </c>
      <c r="H112">
        <v>605</v>
      </c>
      <c r="I112">
        <v>1</v>
      </c>
      <c r="J112">
        <f>IF(I112=1,'User Input and Results'!B$78,IF(I112=2,'User Input and Results'!B$79,IF(I112=3,'User Input and Results'!B$80,'User Input and Results'!B$81)))</f>
        <v>150</v>
      </c>
      <c r="K112">
        <f>IF(I112=1,'User Input and Results'!C$78,IF(I112=2,'User Input and Results'!C$79,IF(I112=3,'User Input and Results'!C$80,'User Input and Results'!C$81)))</f>
        <v>275</v>
      </c>
      <c r="M112" s="37">
        <f t="shared" si="18"/>
        <v>0.038461538461538464</v>
      </c>
      <c r="N112" s="13">
        <f t="shared" si="11"/>
        <v>0.13043478260869557</v>
      </c>
      <c r="O112" s="13">
        <f t="shared" si="12"/>
        <v>3.4785714285714286</v>
      </c>
      <c r="P112" s="13">
        <f t="shared" si="13"/>
        <v>0.7444444444444445</v>
      </c>
      <c r="Q112" s="13">
        <f>(1-FiveYearRepair)*100*'Cost Data and Calculations'!$H112/56000</f>
        <v>0.5401785714285714</v>
      </c>
      <c r="R112" s="13">
        <f>FiveYearRepair*100*'Cost Data and Calculations'!$H112/14000</f>
        <v>2.1607142857142856</v>
      </c>
      <c r="S112" s="13">
        <f t="shared" si="14"/>
        <v>0.9020982142857141</v>
      </c>
      <c r="T112" s="13">
        <f>100*'Cost Data and Calculations'!J112/5000</f>
        <v>3</v>
      </c>
      <c r="U112" s="13">
        <f>100*'Cost Data and Calculations'!K112/5000</f>
        <v>5.5</v>
      </c>
      <c r="V112" s="13">
        <f t="shared" si="15"/>
        <v>4.675</v>
      </c>
      <c r="X112" s="37">
        <f>'Vehicle Counts'!I112*M112</f>
        <v>0.0005985650558431565</v>
      </c>
      <c r="Y112" s="37">
        <f>'Vehicle Counts'!I112*N112</f>
        <v>0.00202991627633766</v>
      </c>
      <c r="Z112" s="37">
        <f>'Vehicle Counts'!I112*O112</f>
        <v>0.05413593383632891</v>
      </c>
      <c r="AA112" s="37">
        <f>'Vehicle Counts'!I112*P112</f>
        <v>0.011585559191986429</v>
      </c>
      <c r="AB112" s="37">
        <f>'Vehicle Counts'!I112*S112</f>
        <v>0.014039076168258446</v>
      </c>
      <c r="AC112" s="37">
        <f>'Vehicle Counts'!I112*V112</f>
        <v>0.07275558253773567</v>
      </c>
    </row>
    <row r="113" spans="1:29" ht="12.75">
      <c r="A113" s="3"/>
      <c r="B113" s="3"/>
      <c r="C113">
        <v>21</v>
      </c>
      <c r="D113">
        <v>15</v>
      </c>
      <c r="E113">
        <v>3058</v>
      </c>
      <c r="F113" s="2">
        <f t="shared" si="17"/>
        <v>2619</v>
      </c>
      <c r="G113">
        <v>439</v>
      </c>
      <c r="H113">
        <v>1091</v>
      </c>
      <c r="I113">
        <v>2</v>
      </c>
      <c r="J113">
        <f>IF(I113=1,'User Input and Results'!B$78,IF(I113=2,'User Input and Results'!B$79,IF(I113=3,'User Input and Results'!B$80,'User Input and Results'!B$81)))</f>
        <v>200</v>
      </c>
      <c r="K113">
        <f>IF(I113=1,'User Input and Results'!C$78,IF(I113=2,'User Input and Results'!C$79,IF(I113=3,'User Input and Results'!C$80,'User Input and Results'!C$81)))</f>
        <v>350</v>
      </c>
      <c r="M113" s="37">
        <f t="shared" si="18"/>
        <v>0.047619047619047616</v>
      </c>
      <c r="N113" s="13">
        <f t="shared" si="11"/>
        <v>0.3999999999999999</v>
      </c>
      <c r="O113" s="13">
        <f t="shared" si="12"/>
        <v>3.7414285714285715</v>
      </c>
      <c r="P113" s="13">
        <f t="shared" si="13"/>
        <v>0.9755555555555555</v>
      </c>
      <c r="Q113" s="13">
        <f>(1-FiveYearRepair)*100*'Cost Data and Calculations'!$H113/56000</f>
        <v>0.9741071428571428</v>
      </c>
      <c r="R113" s="13">
        <f>FiveYearRepair*100*'Cost Data and Calculations'!$H113/14000</f>
        <v>3.8964285714285714</v>
      </c>
      <c r="S113" s="13">
        <f t="shared" si="14"/>
        <v>1.6267589285714283</v>
      </c>
      <c r="T113" s="13">
        <f>100*'Cost Data and Calculations'!J113/5000</f>
        <v>4</v>
      </c>
      <c r="U113" s="13">
        <f>100*'Cost Data and Calculations'!K113/5000</f>
        <v>7</v>
      </c>
      <c r="V113" s="13">
        <f t="shared" si="15"/>
        <v>6.01</v>
      </c>
      <c r="X113" s="37">
        <f>'Vehicle Counts'!I113*M113</f>
        <v>0.0014821610906592445</v>
      </c>
      <c r="Y113" s="37">
        <f>'Vehicle Counts'!I113*N113</f>
        <v>0.012450153161537653</v>
      </c>
      <c r="Z113" s="37">
        <f>'Vehicle Counts'!I113*O113</f>
        <v>0.11645339689309686</v>
      </c>
      <c r="AA113" s="37">
        <f>'Vehicle Counts'!I113*P113</f>
        <v>0.030364540210639057</v>
      </c>
      <c r="AB113" s="37">
        <f>'Vehicle Counts'!I113*S113</f>
        <v>0.050633494544032945</v>
      </c>
      <c r="AC113" s="37">
        <f>'Vehicle Counts'!I113*V113</f>
        <v>0.18706355125210328</v>
      </c>
    </row>
    <row r="114" spans="1:29" ht="12.75">
      <c r="A114" s="3"/>
      <c r="B114" s="3"/>
      <c r="C114">
        <v>26</v>
      </c>
      <c r="D114">
        <v>19</v>
      </c>
      <c r="E114">
        <v>2280</v>
      </c>
      <c r="F114" s="2">
        <f t="shared" si="17"/>
        <v>1925</v>
      </c>
      <c r="G114">
        <v>355</v>
      </c>
      <c r="H114">
        <v>774</v>
      </c>
      <c r="I114">
        <v>2</v>
      </c>
      <c r="J114">
        <f>IF(I114=1,'User Input and Results'!B$78,IF(I114=2,'User Input and Results'!B$79,IF(I114=3,'User Input and Results'!B$80,'User Input and Results'!B$81)))</f>
        <v>200</v>
      </c>
      <c r="K114">
        <f>IF(I114=1,'User Input and Results'!C$78,IF(I114=2,'User Input and Results'!C$79,IF(I114=3,'User Input and Results'!C$80,'User Input and Results'!C$81)))</f>
        <v>350</v>
      </c>
      <c r="M114" s="37">
        <f t="shared" si="18"/>
        <v>0.038461538461538464</v>
      </c>
      <c r="N114" s="13">
        <f t="shared" si="11"/>
        <v>0.368421052631579</v>
      </c>
      <c r="O114" s="13">
        <f t="shared" si="12"/>
        <v>2.75</v>
      </c>
      <c r="P114" s="13">
        <f t="shared" si="13"/>
        <v>0.7888888888888889</v>
      </c>
      <c r="Q114" s="13">
        <f>(1-FiveYearRepair)*100*'Cost Data and Calculations'!$H114/56000</f>
        <v>0.6910714285714286</v>
      </c>
      <c r="R114" s="13">
        <f>FiveYearRepair*100*'Cost Data and Calculations'!$H114/14000</f>
        <v>2.7642857142857142</v>
      </c>
      <c r="S114" s="13">
        <f t="shared" si="14"/>
        <v>1.1540892857142857</v>
      </c>
      <c r="T114" s="13">
        <f>100*'Cost Data and Calculations'!J114/5000</f>
        <v>4</v>
      </c>
      <c r="U114" s="13">
        <f>100*'Cost Data and Calculations'!K114/5000</f>
        <v>7</v>
      </c>
      <c r="V114" s="13">
        <f t="shared" si="15"/>
        <v>6.01</v>
      </c>
      <c r="X114" s="37">
        <f>'Vehicle Counts'!I114*M114</f>
        <v>0.0005985650558431565</v>
      </c>
      <c r="Y114" s="37">
        <f>'Vehicle Counts'!I114*N114</f>
        <v>0.005733623166497605</v>
      </c>
      <c r="Z114" s="37">
        <f>'Vehicle Counts'!I114*O114</f>
        <v>0.04279740149278569</v>
      </c>
      <c r="AA114" s="37">
        <f>'Vehicle Counts'!I114*P114</f>
        <v>0.01227723436762741</v>
      </c>
      <c r="AB114" s="37">
        <f>'Vehicle Counts'!I114*S114</f>
        <v>0.01796073546154056</v>
      </c>
      <c r="AC114" s="37">
        <f>'Vehicle Counts'!I114*V114</f>
        <v>0.09353177562605164</v>
      </c>
    </row>
    <row r="115" spans="1:29" ht="12.75">
      <c r="A115" s="3"/>
      <c r="B115" s="3"/>
      <c r="F115" s="2">
        <f t="shared" si="17"/>
        <v>0</v>
      </c>
      <c r="M115" s="37"/>
      <c r="N115" s="13"/>
      <c r="O115" s="13"/>
      <c r="P115" s="13"/>
      <c r="Q115" s="13"/>
      <c r="R115" s="13"/>
      <c r="S115" s="13"/>
      <c r="T115" s="13"/>
      <c r="U115" s="13"/>
      <c r="V115" s="13"/>
      <c r="X115" s="37"/>
      <c r="Y115" s="37"/>
      <c r="Z115" s="37"/>
      <c r="AA115" s="37"/>
      <c r="AB115" s="37"/>
      <c r="AC115" s="37"/>
    </row>
    <row r="116" spans="2:29" ht="12.75">
      <c r="B116" s="3"/>
      <c r="C116">
        <v>21</v>
      </c>
      <c r="D116">
        <v>15</v>
      </c>
      <c r="E116">
        <v>3096</v>
      </c>
      <c r="F116" s="2">
        <f t="shared" si="17"/>
        <v>2621</v>
      </c>
      <c r="G116">
        <v>475</v>
      </c>
      <c r="H116">
        <v>1091</v>
      </c>
      <c r="I116">
        <v>2</v>
      </c>
      <c r="J116">
        <f>IF(I116=1,'User Input and Results'!B$78,IF(I116=2,'User Input and Results'!B$79,IF(I116=3,'User Input and Results'!B$80,'User Input and Results'!B$81)))</f>
        <v>200</v>
      </c>
      <c r="K116">
        <f>IF(I116=1,'User Input and Results'!C$78,IF(I116=2,'User Input and Results'!C$79,IF(I116=3,'User Input and Results'!C$80,'User Input and Results'!C$81)))</f>
        <v>350</v>
      </c>
      <c r="M116" s="37">
        <f>1/C116</f>
        <v>0.047619047619047616</v>
      </c>
      <c r="N116" s="13">
        <f t="shared" si="11"/>
        <v>0.3999999999999999</v>
      </c>
      <c r="O116" s="13">
        <f t="shared" si="12"/>
        <v>3.744285714285714</v>
      </c>
      <c r="P116" s="13">
        <f t="shared" si="13"/>
        <v>1.0555555555555556</v>
      </c>
      <c r="Q116" s="13">
        <f>(1-FiveYearRepair)*100*'Cost Data and Calculations'!$H116/56000</f>
        <v>0.9741071428571428</v>
      </c>
      <c r="R116" s="13">
        <f>FiveYearRepair*100*'Cost Data and Calculations'!$H116/14000</f>
        <v>3.8964285714285714</v>
      </c>
      <c r="S116" s="13">
        <f t="shared" si="14"/>
        <v>1.6267589285714283</v>
      </c>
      <c r="T116" s="13">
        <f>100*'Cost Data and Calculations'!J116/5000</f>
        <v>4</v>
      </c>
      <c r="U116" s="13">
        <f>100*'Cost Data and Calculations'!K116/5000</f>
        <v>7</v>
      </c>
      <c r="V116" s="13">
        <f t="shared" si="15"/>
        <v>6.01</v>
      </c>
      <c r="X116" s="37">
        <f>'Vehicle Counts'!I116*M116</f>
        <v>0.0005729066235577912</v>
      </c>
      <c r="Y116" s="37">
        <f>'Vehicle Counts'!I116*N116</f>
        <v>0.004812415637885445</v>
      </c>
      <c r="Z116" s="37">
        <f>'Vehicle Counts'!I116*O116</f>
        <v>0.045047647810349124</v>
      </c>
      <c r="AA116" s="37">
        <f>'Vehicle Counts'!I116*P116</f>
        <v>0.012699430155531039</v>
      </c>
      <c r="AB116" s="37">
        <f>'Vehicle Counts'!I116*S116</f>
        <v>0.019571600267317288</v>
      </c>
      <c r="AC116" s="37">
        <f>'Vehicle Counts'!I116*V116</f>
        <v>0.07230654495922882</v>
      </c>
    </row>
    <row r="117" spans="2:29" ht="12.75">
      <c r="B117" s="3"/>
      <c r="C117">
        <v>17</v>
      </c>
      <c r="D117">
        <v>13</v>
      </c>
      <c r="E117">
        <v>2576</v>
      </c>
      <c r="F117" s="2">
        <f t="shared" si="17"/>
        <v>2141</v>
      </c>
      <c r="G117">
        <v>435</v>
      </c>
      <c r="H117">
        <v>926</v>
      </c>
      <c r="I117">
        <v>2</v>
      </c>
      <c r="J117">
        <f>IF(I117=1,'User Input and Results'!B$78,IF(I117=2,'User Input and Results'!B$79,IF(I117=3,'User Input and Results'!B$80,'User Input and Results'!B$81)))</f>
        <v>200</v>
      </c>
      <c r="K117">
        <f>IF(I117=1,'User Input and Results'!C$78,IF(I117=2,'User Input and Results'!C$79,IF(I117=3,'User Input and Results'!C$80,'User Input and Results'!C$81)))</f>
        <v>350</v>
      </c>
      <c r="M117" s="37">
        <f>1/C117</f>
        <v>0.058823529411764705</v>
      </c>
      <c r="N117" s="13">
        <f t="shared" si="11"/>
        <v>0.3076923076923077</v>
      </c>
      <c r="O117" s="13">
        <f t="shared" si="12"/>
        <v>3.0585714285714287</v>
      </c>
      <c r="P117" s="13">
        <f t="shared" si="13"/>
        <v>0.9666666666666667</v>
      </c>
      <c r="Q117" s="13">
        <f>(1-FiveYearRepair)*100*'Cost Data and Calculations'!$H117/56000</f>
        <v>0.8267857142857142</v>
      </c>
      <c r="R117" s="13">
        <f>FiveYearRepair*100*'Cost Data and Calculations'!$H117/14000</f>
        <v>3.307142857142857</v>
      </c>
      <c r="S117" s="13">
        <f t="shared" si="14"/>
        <v>1.3807321428571426</v>
      </c>
      <c r="T117" s="13">
        <f>100*'Cost Data and Calculations'!J117/5000</f>
        <v>4</v>
      </c>
      <c r="U117" s="13">
        <f>100*'Cost Data and Calculations'!K117/5000</f>
        <v>7</v>
      </c>
      <c r="V117" s="13">
        <f t="shared" si="15"/>
        <v>6.01</v>
      </c>
      <c r="X117" s="37">
        <f>'Vehicle Counts'!I117*M117</f>
        <v>0.0007077081820419773</v>
      </c>
      <c r="Y117" s="37">
        <f>'Vehicle Counts'!I117*N117</f>
        <v>0.0037018581829888052</v>
      </c>
      <c r="Z117" s="37">
        <f>'Vehicle Counts'!I117*O117</f>
        <v>0.03679779243111693</v>
      </c>
      <c r="AA117" s="37">
        <f>'Vehicle Counts'!I117*P117</f>
        <v>0.011630004458223162</v>
      </c>
      <c r="AB117" s="37">
        <f>'Vehicle Counts'!I117*S117</f>
        <v>0.016611642390041988</v>
      </c>
      <c r="AC117" s="37">
        <f>'Vehicle Counts'!I117*V117</f>
        <v>0.07230654495922882</v>
      </c>
    </row>
    <row r="118" spans="2:29" ht="12.75">
      <c r="B118" s="3"/>
      <c r="C118">
        <v>17</v>
      </c>
      <c r="D118">
        <v>14</v>
      </c>
      <c r="E118">
        <v>3096</v>
      </c>
      <c r="F118" s="2">
        <f t="shared" si="17"/>
        <v>2629</v>
      </c>
      <c r="G118">
        <v>467</v>
      </c>
      <c r="H118">
        <v>847</v>
      </c>
      <c r="I118">
        <v>3</v>
      </c>
      <c r="J118">
        <f>IF(I118=1,'User Input and Results'!B$78,IF(I118=2,'User Input and Results'!B$79,IF(I118=3,'User Input and Results'!B$80,'User Input and Results'!B$81)))</f>
        <v>275</v>
      </c>
      <c r="K118">
        <f>IF(I118=1,'User Input and Results'!C$78,IF(I118=2,'User Input and Results'!C$79,IF(I118=3,'User Input and Results'!C$80,'User Input and Results'!C$81)))</f>
        <v>475</v>
      </c>
      <c r="M118" s="37">
        <f>1/C118</f>
        <v>0.058823529411764705</v>
      </c>
      <c r="N118" s="13">
        <f t="shared" si="11"/>
        <v>0.2142857142857142</v>
      </c>
      <c r="O118" s="13">
        <f t="shared" si="12"/>
        <v>3.755714285714286</v>
      </c>
      <c r="P118" s="13">
        <f t="shared" si="13"/>
        <v>1.0377777777777777</v>
      </c>
      <c r="Q118" s="13">
        <f>(1-FiveYearRepair)*100*'Cost Data and Calculations'!$H118/56000</f>
        <v>0.75625</v>
      </c>
      <c r="R118" s="13">
        <f>FiveYearRepair*100*'Cost Data and Calculations'!$H118/14000</f>
        <v>3.025</v>
      </c>
      <c r="S118" s="13">
        <f t="shared" si="14"/>
        <v>1.2629374999999998</v>
      </c>
      <c r="T118" s="13">
        <f>100*'Cost Data and Calculations'!J118/5000</f>
        <v>5.5</v>
      </c>
      <c r="U118" s="13">
        <f>100*'Cost Data and Calculations'!K118/5000</f>
        <v>9.5</v>
      </c>
      <c r="V118" s="13">
        <f t="shared" si="15"/>
        <v>8.18</v>
      </c>
      <c r="X118" s="37">
        <f>'Vehicle Counts'!I118*M118</f>
        <v>0.0007077081820419773</v>
      </c>
      <c r="Y118" s="37">
        <f>'Vehicle Counts'!I118*N118</f>
        <v>0.0025780798060100595</v>
      </c>
      <c r="Z118" s="37">
        <f>'Vehicle Counts'!I118*O118</f>
        <v>0.04518514540000299</v>
      </c>
      <c r="AA118" s="37">
        <f>'Vehicle Counts'!I118*P118</f>
        <v>0.012485545016069462</v>
      </c>
      <c r="AB118" s="37">
        <f>'Vehicle Counts'!I118*S118</f>
        <v>0.015194450436679875</v>
      </c>
      <c r="AC118" s="37">
        <f>'Vehicle Counts'!I118*V118</f>
        <v>0.09841389979475737</v>
      </c>
    </row>
    <row r="119" spans="2:29" ht="12.75">
      <c r="B119" s="3"/>
      <c r="C119">
        <v>22</v>
      </c>
      <c r="D119">
        <v>16</v>
      </c>
      <c r="E119">
        <v>1809</v>
      </c>
      <c r="F119" s="2">
        <f t="shared" si="17"/>
        <v>1474</v>
      </c>
      <c r="G119">
        <v>335</v>
      </c>
      <c r="H119">
        <v>645</v>
      </c>
      <c r="I119">
        <v>2</v>
      </c>
      <c r="J119">
        <f>IF(I119=1,'User Input and Results'!B$78,IF(I119=2,'User Input and Results'!B$79,IF(I119=3,'User Input and Results'!B$80,'User Input and Results'!B$81)))</f>
        <v>200</v>
      </c>
      <c r="K119">
        <f>IF(I119=1,'User Input and Results'!C$78,IF(I119=2,'User Input and Results'!C$79,IF(I119=3,'User Input and Results'!C$80,'User Input and Results'!C$81)))</f>
        <v>350</v>
      </c>
      <c r="M119" s="37">
        <f>1/C119</f>
        <v>0.045454545454545456</v>
      </c>
      <c r="N119" s="13">
        <f t="shared" si="11"/>
        <v>0.375</v>
      </c>
      <c r="O119" s="13">
        <f t="shared" si="12"/>
        <v>2.105714285714286</v>
      </c>
      <c r="P119" s="13">
        <f t="shared" si="13"/>
        <v>0.7444444444444445</v>
      </c>
      <c r="Q119" s="13">
        <f>(1-FiveYearRepair)*100*'Cost Data and Calculations'!$H119/56000</f>
        <v>0.5758928571428571</v>
      </c>
      <c r="R119" s="13">
        <f>FiveYearRepair*100*'Cost Data and Calculations'!$H119/14000</f>
        <v>2.3035714285714284</v>
      </c>
      <c r="S119" s="13">
        <f t="shared" si="14"/>
        <v>0.9617410714285712</v>
      </c>
      <c r="T119" s="13">
        <f>100*'Cost Data and Calculations'!J119/5000</f>
        <v>4</v>
      </c>
      <c r="U119" s="13">
        <f>100*'Cost Data and Calculations'!K119/5000</f>
        <v>7</v>
      </c>
      <c r="V119" s="13">
        <f t="shared" si="15"/>
        <v>6.01</v>
      </c>
      <c r="X119" s="37">
        <f>'Vehicle Counts'!I119*M119</f>
        <v>0.0005468654133960735</v>
      </c>
      <c r="Y119" s="37">
        <f>'Vehicle Counts'!I119*N119</f>
        <v>0.0045116396605176055</v>
      </c>
      <c r="Z119" s="37">
        <f>'Vehicle Counts'!I119*O119</f>
        <v>0.02533393089372553</v>
      </c>
      <c r="AA119" s="37">
        <f>'Vehicle Counts'!I119*P119</f>
        <v>0.00895644021495347</v>
      </c>
      <c r="AB119" s="37">
        <f>'Vehicle Counts'!I119*S119</f>
        <v>0.011570744429348901</v>
      </c>
      <c r="AC119" s="37">
        <f>'Vehicle Counts'!I119*V119</f>
        <v>0.07230654495922882</v>
      </c>
    </row>
    <row r="120" spans="2:29" ht="12.75">
      <c r="B120" s="3"/>
      <c r="C120">
        <v>17</v>
      </c>
      <c r="D120">
        <v>14</v>
      </c>
      <c r="E120">
        <v>3154</v>
      </c>
      <c r="F120" s="2">
        <f t="shared" si="17"/>
        <v>2599</v>
      </c>
      <c r="G120">
        <v>555</v>
      </c>
      <c r="H120">
        <v>905</v>
      </c>
      <c r="I120">
        <v>3</v>
      </c>
      <c r="J120">
        <f>IF(I120=1,'User Input and Results'!B$78,IF(I120=2,'User Input and Results'!B$79,IF(I120=3,'User Input and Results'!B$80,'User Input and Results'!B$81)))</f>
        <v>275</v>
      </c>
      <c r="K120">
        <f>IF(I120=1,'User Input and Results'!C$78,IF(I120=2,'User Input and Results'!C$79,IF(I120=3,'User Input and Results'!C$80,'User Input and Results'!C$81)))</f>
        <v>475</v>
      </c>
      <c r="M120" s="37">
        <f>1/C120</f>
        <v>0.058823529411764705</v>
      </c>
      <c r="N120" s="13">
        <f t="shared" si="11"/>
        <v>0.2142857142857142</v>
      </c>
      <c r="O120" s="13">
        <f t="shared" si="12"/>
        <v>3.712857142857143</v>
      </c>
      <c r="P120" s="13">
        <f t="shared" si="13"/>
        <v>1.2333333333333334</v>
      </c>
      <c r="Q120" s="13">
        <f>(1-FiveYearRepair)*100*'Cost Data and Calculations'!$H120/56000</f>
        <v>0.8080357142857143</v>
      </c>
      <c r="R120" s="13">
        <f>FiveYearRepair*100*'Cost Data and Calculations'!$H120/14000</f>
        <v>3.232142857142857</v>
      </c>
      <c r="S120" s="13">
        <f t="shared" si="14"/>
        <v>1.3494196428571428</v>
      </c>
      <c r="T120" s="13">
        <f>100*'Cost Data and Calculations'!J120/5000</f>
        <v>5.5</v>
      </c>
      <c r="U120" s="13">
        <f>100*'Cost Data and Calculations'!K120/5000</f>
        <v>9.5</v>
      </c>
      <c r="V120" s="13">
        <f t="shared" si="15"/>
        <v>8.18</v>
      </c>
      <c r="X120" s="37">
        <f>'Vehicle Counts'!I120*M120</f>
        <v>0.0007077081820419773</v>
      </c>
      <c r="Y120" s="37">
        <f>'Vehicle Counts'!I120*N120</f>
        <v>0.0025780798060100595</v>
      </c>
      <c r="Z120" s="37">
        <f>'Vehicle Counts'!I120*O120</f>
        <v>0.04466952943880098</v>
      </c>
      <c r="AA120" s="37">
        <f>'Vehicle Counts'!I120*P120</f>
        <v>0.014838281550146793</v>
      </c>
      <c r="AB120" s="37">
        <f>'Vehicle Counts'!I120*S120</f>
        <v>0.01623492047838877</v>
      </c>
      <c r="AC120" s="37">
        <f>'Vehicle Counts'!I120*V120</f>
        <v>0.09841389979475737</v>
      </c>
    </row>
    <row r="121" spans="1:29" ht="12.75">
      <c r="A121" s="3"/>
      <c r="B121" s="3"/>
      <c r="F121" s="2">
        <f t="shared" si="17"/>
        <v>0</v>
      </c>
      <c r="M121" s="37"/>
      <c r="N121" s="13"/>
      <c r="O121" s="13"/>
      <c r="P121" s="13"/>
      <c r="Q121" s="13"/>
      <c r="R121" s="13"/>
      <c r="S121" s="13"/>
      <c r="T121" s="13"/>
      <c r="U121" s="13"/>
      <c r="V121" s="13"/>
      <c r="X121" s="37"/>
      <c r="Y121" s="37"/>
      <c r="Z121" s="37"/>
      <c r="AA121" s="37"/>
      <c r="AB121" s="37"/>
      <c r="AC121" s="37"/>
    </row>
    <row r="122" spans="1:29" ht="12.75">
      <c r="A122" s="3"/>
      <c r="B122" s="3"/>
      <c r="C122">
        <v>26</v>
      </c>
      <c r="D122">
        <v>19</v>
      </c>
      <c r="E122">
        <v>2267</v>
      </c>
      <c r="F122" s="2">
        <f t="shared" si="17"/>
        <v>1912</v>
      </c>
      <c r="G122">
        <v>355</v>
      </c>
      <c r="H122">
        <v>799</v>
      </c>
      <c r="I122">
        <v>2</v>
      </c>
      <c r="J122">
        <f>IF(I122=1,'User Input and Results'!B$78,IF(I122=2,'User Input and Results'!B$79,IF(I122=3,'User Input and Results'!B$80,'User Input and Results'!B$81)))</f>
        <v>200</v>
      </c>
      <c r="K122">
        <f>IF(I122=1,'User Input and Results'!C$78,IF(I122=2,'User Input and Results'!C$79,IF(I122=3,'User Input and Results'!C$80,'User Input and Results'!C$81)))</f>
        <v>350</v>
      </c>
      <c r="M122" s="37">
        <f>1/C122</f>
        <v>0.038461538461538464</v>
      </c>
      <c r="N122" s="13">
        <f t="shared" si="11"/>
        <v>0.368421052631579</v>
      </c>
      <c r="O122" s="13">
        <f t="shared" si="12"/>
        <v>2.7314285714285713</v>
      </c>
      <c r="P122" s="13">
        <f t="shared" si="13"/>
        <v>0.7888888888888889</v>
      </c>
      <c r="Q122" s="13">
        <f>(1-FiveYearRepair)*100*'Cost Data and Calculations'!$H122/56000</f>
        <v>0.7133928571428572</v>
      </c>
      <c r="R122" s="13">
        <f>FiveYearRepair*100*'Cost Data and Calculations'!$H122/14000</f>
        <v>2.8535714285714286</v>
      </c>
      <c r="S122" s="13">
        <f t="shared" si="14"/>
        <v>1.1913660714285714</v>
      </c>
      <c r="T122" s="13">
        <f>100*'Cost Data and Calculations'!J122/5000</f>
        <v>4</v>
      </c>
      <c r="U122" s="13">
        <f>100*'Cost Data and Calculations'!K122/5000</f>
        <v>7</v>
      </c>
      <c r="V122" s="13">
        <f t="shared" si="15"/>
        <v>6.01</v>
      </c>
      <c r="X122" s="37">
        <f>'Vehicle Counts'!I122*M122</f>
        <v>0.00040299429502311526</v>
      </c>
      <c r="Y122" s="37">
        <f>'Vehicle Counts'!I122*N122</f>
        <v>0.0038602611418003673</v>
      </c>
      <c r="Z122" s="37">
        <f>'Vehicle Counts'!I122*O122</f>
        <v>0.02861950342027015</v>
      </c>
      <c r="AA122" s="37">
        <f>'Vehicle Counts'!I122*P122</f>
        <v>0.008265860762363008</v>
      </c>
      <c r="AB122" s="37">
        <f>'Vehicle Counts'!I122*S122</f>
        <v>0.012482956981815204</v>
      </c>
      <c r="AC122" s="37">
        <f>'Vehicle Counts'!I122*V122</f>
        <v>0.062971888540312</v>
      </c>
    </row>
    <row r="123" spans="1:29" ht="12.75">
      <c r="A123" s="3"/>
      <c r="F123" s="2">
        <f t="shared" si="17"/>
        <v>0</v>
      </c>
      <c r="M123" s="37"/>
      <c r="N123" s="13"/>
      <c r="O123" s="13"/>
      <c r="P123" s="13"/>
      <c r="Q123" s="13"/>
      <c r="R123" s="13"/>
      <c r="S123" s="13"/>
      <c r="T123" s="13"/>
      <c r="U123" s="13"/>
      <c r="V123" s="13"/>
      <c r="X123" s="37"/>
      <c r="Y123" s="37"/>
      <c r="Z123" s="37"/>
      <c r="AA123" s="37"/>
      <c r="AB123" s="37"/>
      <c r="AC123" s="37"/>
    </row>
    <row r="124" spans="1:29" ht="12.75">
      <c r="A124" s="3"/>
      <c r="B124" s="3"/>
      <c r="C124">
        <v>21</v>
      </c>
      <c r="D124">
        <v>15</v>
      </c>
      <c r="E124">
        <v>3062</v>
      </c>
      <c r="F124" s="2">
        <f t="shared" si="17"/>
        <v>2451</v>
      </c>
      <c r="G124">
        <v>611</v>
      </c>
      <c r="H124">
        <v>1117</v>
      </c>
      <c r="I124">
        <v>2</v>
      </c>
      <c r="J124">
        <f>IF(I124=1,'User Input and Results'!B$78,IF(I124=2,'User Input and Results'!B$79,IF(I124=3,'User Input and Results'!B$80,'User Input and Results'!B$81)))</f>
        <v>200</v>
      </c>
      <c r="K124">
        <f>IF(I124=1,'User Input and Results'!C$78,IF(I124=2,'User Input and Results'!C$79,IF(I124=3,'User Input and Results'!C$80,'User Input and Results'!C$81)))</f>
        <v>350</v>
      </c>
      <c r="M124" s="37">
        <f>1/C124</f>
        <v>0.047619047619047616</v>
      </c>
      <c r="N124" s="13">
        <f t="shared" si="11"/>
        <v>0.3999999999999999</v>
      </c>
      <c r="O124" s="13">
        <f t="shared" si="12"/>
        <v>3.5014285714285713</v>
      </c>
      <c r="P124" s="13">
        <f t="shared" si="13"/>
        <v>1.3577777777777778</v>
      </c>
      <c r="Q124" s="13">
        <f>(1-FiveYearRepair)*100*'Cost Data and Calculations'!$H124/56000</f>
        <v>0.9973214285714286</v>
      </c>
      <c r="R124" s="13">
        <f>FiveYearRepair*100*'Cost Data and Calculations'!$H124/14000</f>
        <v>3.9892857142857143</v>
      </c>
      <c r="S124" s="13">
        <f t="shared" si="14"/>
        <v>1.6655267857142857</v>
      </c>
      <c r="T124" s="13">
        <f>100*'Cost Data and Calculations'!J124/5000</f>
        <v>4</v>
      </c>
      <c r="U124" s="13">
        <f>100*'Cost Data and Calculations'!K124/5000</f>
        <v>7</v>
      </c>
      <c r="V124" s="13">
        <f t="shared" si="15"/>
        <v>6.01</v>
      </c>
      <c r="X124" s="37">
        <f>'Vehicle Counts'!I124*M124</f>
        <v>0.0006448134487481902</v>
      </c>
      <c r="Y124" s="37">
        <f>'Vehicle Counts'!I124*N124</f>
        <v>0.005416432969484797</v>
      </c>
      <c r="Z124" s="37">
        <f>'Vehicle Counts'!I124*O124</f>
        <v>0.04741313288645443</v>
      </c>
      <c r="AA124" s="37">
        <f>'Vehicle Counts'!I124*P124</f>
        <v>0.0183857808019734</v>
      </c>
      <c r="AB124" s="37">
        <f>'Vehicle Counts'!I124*S124</f>
        <v>0.022553035484257248</v>
      </c>
      <c r="AC124" s="37">
        <f>'Vehicle Counts'!I124*V124</f>
        <v>0.08138190536650909</v>
      </c>
    </row>
    <row r="125" spans="1:29" ht="12.75">
      <c r="A125" s="3"/>
      <c r="B125" s="3"/>
      <c r="F125" s="2">
        <f t="shared" si="17"/>
        <v>0</v>
      </c>
      <c r="M125" s="37"/>
      <c r="N125" s="13"/>
      <c r="O125" s="13"/>
      <c r="P125" s="13"/>
      <c r="Q125" s="13"/>
      <c r="R125" s="13"/>
      <c r="S125" s="13"/>
      <c r="T125" s="13"/>
      <c r="U125" s="13"/>
      <c r="V125" s="13"/>
      <c r="X125" s="37"/>
      <c r="Y125" s="37"/>
      <c r="Z125" s="37"/>
      <c r="AA125" s="37"/>
      <c r="AB125" s="37"/>
      <c r="AC125" s="37"/>
    </row>
    <row r="126" spans="1:29" ht="12.75">
      <c r="A126" s="3"/>
      <c r="B126" s="3"/>
      <c r="C126">
        <v>19</v>
      </c>
      <c r="D126">
        <v>16</v>
      </c>
      <c r="E126">
        <v>1480</v>
      </c>
      <c r="F126" s="2">
        <f t="shared" si="17"/>
        <v>1125</v>
      </c>
      <c r="G126">
        <v>355</v>
      </c>
      <c r="H126">
        <v>761</v>
      </c>
      <c r="I126">
        <v>2</v>
      </c>
      <c r="J126">
        <f>IF(I126=1,'User Input and Results'!B$78,IF(I126=2,'User Input and Results'!B$79,IF(I126=3,'User Input and Results'!B$80,'User Input and Results'!B$81)))</f>
        <v>200</v>
      </c>
      <c r="K126">
        <f>IF(I126=1,'User Input and Results'!C$78,IF(I126=2,'User Input and Results'!C$79,IF(I126=3,'User Input and Results'!C$80,'User Input and Results'!C$81)))</f>
        <v>350</v>
      </c>
      <c r="M126" s="37">
        <f aca="true" t="shared" si="19" ref="M126:M132">1/C126</f>
        <v>0.05263157894736842</v>
      </c>
      <c r="N126" s="13">
        <f t="shared" si="11"/>
        <v>0.1875</v>
      </c>
      <c r="O126" s="13">
        <f t="shared" si="12"/>
        <v>1.6071428571428572</v>
      </c>
      <c r="P126" s="13">
        <f t="shared" si="13"/>
        <v>0.7888888888888889</v>
      </c>
      <c r="Q126" s="13">
        <f>(1-FiveYearRepair)*100*'Cost Data and Calculations'!$H126/56000</f>
        <v>0.6794642857142857</v>
      </c>
      <c r="R126" s="13">
        <f>FiveYearRepair*100*'Cost Data and Calculations'!$H126/14000</f>
        <v>2.717857142857143</v>
      </c>
      <c r="S126" s="13">
        <f t="shared" si="14"/>
        <v>1.1347053571428571</v>
      </c>
      <c r="T126" s="13">
        <f>100*'Cost Data and Calculations'!J126/5000</f>
        <v>4</v>
      </c>
      <c r="U126" s="13">
        <f>100*'Cost Data and Calculations'!K126/5000</f>
        <v>7</v>
      </c>
      <c r="V126" s="13">
        <f t="shared" si="15"/>
        <v>6.01</v>
      </c>
      <c r="X126" s="37">
        <f>'Vehicle Counts'!I126*M126</f>
        <v>0.0003328258765955611</v>
      </c>
      <c r="Y126" s="37">
        <f>'Vehicle Counts'!I126*N126</f>
        <v>0.0011856921853716862</v>
      </c>
      <c r="Z126" s="37">
        <f>'Vehicle Counts'!I126*O126</f>
        <v>0.010163075874614454</v>
      </c>
      <c r="AA126" s="37">
        <f>'Vehicle Counts'!I126*P126</f>
        <v>0.00498869008363791</v>
      </c>
      <c r="AB126" s="37">
        <f>'Vehicle Counts'!I126*S126</f>
        <v>0.007175526798206262</v>
      </c>
      <c r="AC126" s="37">
        <f>'Vehicle Counts'!I126*V126</f>
        <v>0.03800538684844712</v>
      </c>
    </row>
    <row r="127" spans="1:29" ht="12.75">
      <c r="A127" s="3"/>
      <c r="B127" s="3"/>
      <c r="C127">
        <v>24</v>
      </c>
      <c r="D127">
        <v>19</v>
      </c>
      <c r="E127">
        <v>1569</v>
      </c>
      <c r="F127" s="2">
        <f t="shared" si="17"/>
        <v>1138</v>
      </c>
      <c r="G127">
        <v>431</v>
      </c>
      <c r="H127">
        <v>740</v>
      </c>
      <c r="I127">
        <v>2</v>
      </c>
      <c r="J127">
        <f>IF(I127=1,'User Input and Results'!B$78,IF(I127=2,'User Input and Results'!B$79,IF(I127=3,'User Input and Results'!B$80,'User Input and Results'!B$81)))</f>
        <v>200</v>
      </c>
      <c r="K127">
        <f>IF(I127=1,'User Input and Results'!C$78,IF(I127=2,'User Input and Results'!C$79,IF(I127=3,'User Input and Results'!C$80,'User Input and Results'!C$81)))</f>
        <v>350</v>
      </c>
      <c r="M127" s="37">
        <f t="shared" si="19"/>
        <v>0.041666666666666664</v>
      </c>
      <c r="N127" s="13">
        <f t="shared" si="11"/>
        <v>0.26315789473684204</v>
      </c>
      <c r="O127" s="13">
        <f t="shared" si="12"/>
        <v>1.6257142857142857</v>
      </c>
      <c r="P127" s="13">
        <f t="shared" si="13"/>
        <v>0.9577777777777777</v>
      </c>
      <c r="Q127" s="13">
        <f>(1-FiveYearRepair)*100*'Cost Data and Calculations'!$H127/56000</f>
        <v>0.6607142857142857</v>
      </c>
      <c r="R127" s="13">
        <f>FiveYearRepair*100*'Cost Data and Calculations'!$H127/14000</f>
        <v>2.642857142857143</v>
      </c>
      <c r="S127" s="13">
        <f t="shared" si="14"/>
        <v>1.103392857142857</v>
      </c>
      <c r="T127" s="13">
        <f>100*'Cost Data and Calculations'!J127/5000</f>
        <v>4</v>
      </c>
      <c r="U127" s="13">
        <f>100*'Cost Data and Calculations'!K127/5000</f>
        <v>7</v>
      </c>
      <c r="V127" s="13">
        <f t="shared" si="15"/>
        <v>6.01</v>
      </c>
      <c r="X127" s="37">
        <f>'Vehicle Counts'!I127*M127</f>
        <v>6.587178807620479E-05</v>
      </c>
      <c r="Y127" s="37">
        <f>'Vehicle Counts'!I127*N127</f>
        <v>0.00041603234574445123</v>
      </c>
      <c r="Z127" s="37">
        <f>'Vehicle Counts'!I127*O127</f>
        <v>0.0025701289656247218</v>
      </c>
      <c r="AA127" s="37">
        <f>'Vehicle Counts'!I127*P127</f>
        <v>0.0015141728352450275</v>
      </c>
      <c r="AB127" s="37">
        <f>'Vehicle Counts'!I127*S127</f>
        <v>0.0017443790508122974</v>
      </c>
      <c r="AC127" s="37">
        <f>'Vehicle Counts'!I127*V127</f>
        <v>0.00950134671211178</v>
      </c>
    </row>
    <row r="128" spans="1:29" ht="12.75">
      <c r="A128" s="3"/>
      <c r="B128" s="3"/>
      <c r="C128">
        <v>16</v>
      </c>
      <c r="D128">
        <v>13</v>
      </c>
      <c r="E128">
        <v>1997</v>
      </c>
      <c r="F128" s="2">
        <f t="shared" si="17"/>
        <v>1374</v>
      </c>
      <c r="G128">
        <v>623</v>
      </c>
      <c r="H128">
        <v>864</v>
      </c>
      <c r="I128">
        <v>3</v>
      </c>
      <c r="J128">
        <f>IF(I128=1,'User Input and Results'!B$78,IF(I128=2,'User Input and Results'!B$79,IF(I128=3,'User Input and Results'!B$80,'User Input and Results'!B$81)))</f>
        <v>275</v>
      </c>
      <c r="K128">
        <f>IF(I128=1,'User Input and Results'!C$78,IF(I128=2,'User Input and Results'!C$79,IF(I128=3,'User Input and Results'!C$80,'User Input and Results'!C$81)))</f>
        <v>475</v>
      </c>
      <c r="M128" s="37">
        <f t="shared" si="19"/>
        <v>0.0625</v>
      </c>
      <c r="N128" s="13">
        <f t="shared" si="11"/>
        <v>0.23076923076923084</v>
      </c>
      <c r="O128" s="13">
        <f t="shared" si="12"/>
        <v>1.9628571428571429</v>
      </c>
      <c r="P128" s="13">
        <f t="shared" si="13"/>
        <v>1.3844444444444444</v>
      </c>
      <c r="Q128" s="13">
        <f>(1-FiveYearRepair)*100*'Cost Data and Calculations'!$H128/56000</f>
        <v>0.7714285714285715</v>
      </c>
      <c r="R128" s="13">
        <f>FiveYearRepair*100*'Cost Data and Calculations'!$H128/14000</f>
        <v>3.085714285714286</v>
      </c>
      <c r="S128" s="13">
        <f t="shared" si="14"/>
        <v>1.2882857142857143</v>
      </c>
      <c r="T128" s="13">
        <f>100*'Cost Data and Calculations'!J128/5000</f>
        <v>5.5</v>
      </c>
      <c r="U128" s="13">
        <f>100*'Cost Data and Calculations'!K128/5000</f>
        <v>9.5</v>
      </c>
      <c r="V128" s="13">
        <f t="shared" si="15"/>
        <v>8.18</v>
      </c>
      <c r="X128" s="37">
        <f>'Vehicle Counts'!I128*M128</f>
        <v>0.0001976153642286144</v>
      </c>
      <c r="Y128" s="37">
        <f>'Vehicle Counts'!I128*N128</f>
        <v>0.0007296567294594995</v>
      </c>
      <c r="Z128" s="37">
        <f>'Vehicle Counts'!I128*O128</f>
        <v>0.006206251667431227</v>
      </c>
      <c r="AA128" s="37">
        <f>'Vehicle Counts'!I128*P128</f>
        <v>0.004377399890290729</v>
      </c>
      <c r="AB128" s="37">
        <f>'Vehicle Counts'!I128*S128</f>
        <v>0.0040733608105454734</v>
      </c>
      <c r="AC128" s="37">
        <f>'Vehicle Counts'!I128*V128</f>
        <v>0.02586389887024105</v>
      </c>
    </row>
    <row r="129" spans="1:29" ht="12.75">
      <c r="A129" s="3"/>
      <c r="B129" s="3"/>
      <c r="C129">
        <v>31</v>
      </c>
      <c r="D129">
        <v>25</v>
      </c>
      <c r="E129">
        <v>1238</v>
      </c>
      <c r="F129" s="2">
        <f t="shared" si="17"/>
        <v>883</v>
      </c>
      <c r="G129">
        <v>355</v>
      </c>
      <c r="H129">
        <v>572</v>
      </c>
      <c r="I129">
        <v>1</v>
      </c>
      <c r="J129">
        <f>IF(I129=1,'User Input and Results'!B$78,IF(I129=2,'User Input and Results'!B$79,IF(I129=3,'User Input and Results'!B$80,'User Input and Results'!B$81)))</f>
        <v>150</v>
      </c>
      <c r="K129">
        <f>IF(I129=1,'User Input and Results'!C$78,IF(I129=2,'User Input and Results'!C$79,IF(I129=3,'User Input and Results'!C$80,'User Input and Results'!C$81)))</f>
        <v>275</v>
      </c>
      <c r="M129" s="37">
        <f t="shared" si="19"/>
        <v>0.03225806451612903</v>
      </c>
      <c r="N129" s="13">
        <f t="shared" si="11"/>
        <v>0.24</v>
      </c>
      <c r="O129" s="13">
        <f t="shared" si="12"/>
        <v>1.2614285714285713</v>
      </c>
      <c r="P129" s="13">
        <f t="shared" si="13"/>
        <v>0.7888888888888889</v>
      </c>
      <c r="Q129" s="13">
        <f>(1-FiveYearRepair)*100*'Cost Data and Calculations'!$H129/56000</f>
        <v>0.5107142857142857</v>
      </c>
      <c r="R129" s="13">
        <f>FiveYearRepair*100*'Cost Data and Calculations'!$H129/14000</f>
        <v>2.0428571428571427</v>
      </c>
      <c r="S129" s="13">
        <f t="shared" si="14"/>
        <v>0.8528928571428571</v>
      </c>
      <c r="T129" s="13">
        <f>100*'Cost Data and Calculations'!J129/5000</f>
        <v>3</v>
      </c>
      <c r="U129" s="13">
        <f>100*'Cost Data and Calculations'!K129/5000</f>
        <v>5.5</v>
      </c>
      <c r="V129" s="13">
        <f t="shared" si="15"/>
        <v>4.675</v>
      </c>
      <c r="X129" s="37">
        <f>'Vehicle Counts'!I129*M129</f>
        <v>5.099751334931984E-05</v>
      </c>
      <c r="Y129" s="37">
        <f>'Vehicle Counts'!I129*N129</f>
        <v>0.0003794214993189396</v>
      </c>
      <c r="Z129" s="37">
        <f>'Vehicle Counts'!I129*O129</f>
        <v>0.0019942213327299027</v>
      </c>
      <c r="AA129" s="37">
        <f>'Vehicle Counts'!I129*P129</f>
        <v>0.0012471725209094774</v>
      </c>
      <c r="AB129" s="37">
        <f>'Vehicle Counts'!I129*S129</f>
        <v>0.0013483578608981543</v>
      </c>
      <c r="AC129" s="37">
        <f>'Vehicle Counts'!I129*V129</f>
        <v>0.007390814622150178</v>
      </c>
    </row>
    <row r="130" spans="1:29" ht="12.75">
      <c r="A130" s="3"/>
      <c r="B130" s="3"/>
      <c r="C130">
        <v>24</v>
      </c>
      <c r="D130">
        <v>19</v>
      </c>
      <c r="E130">
        <v>1372</v>
      </c>
      <c r="F130" s="2">
        <f t="shared" si="17"/>
        <v>1017</v>
      </c>
      <c r="G130">
        <v>355</v>
      </c>
      <c r="H130">
        <v>615</v>
      </c>
      <c r="I130">
        <v>2</v>
      </c>
      <c r="J130">
        <f>IF(I130=1,'User Input and Results'!B$78,IF(I130=2,'User Input and Results'!B$79,IF(I130=3,'User Input and Results'!B$80,'User Input and Results'!B$81)))</f>
        <v>200</v>
      </c>
      <c r="K130">
        <f>IF(I130=1,'User Input and Results'!C$78,IF(I130=2,'User Input and Results'!C$79,IF(I130=3,'User Input and Results'!C$80,'User Input and Results'!C$81)))</f>
        <v>350</v>
      </c>
      <c r="M130" s="37">
        <f t="shared" si="19"/>
        <v>0.041666666666666664</v>
      </c>
      <c r="N130" s="13">
        <f t="shared" si="11"/>
        <v>0.26315789473684204</v>
      </c>
      <c r="O130" s="13">
        <f t="shared" si="12"/>
        <v>1.4528571428571428</v>
      </c>
      <c r="P130" s="13">
        <f t="shared" si="13"/>
        <v>0.7888888888888889</v>
      </c>
      <c r="Q130" s="13">
        <f>(1-FiveYearRepair)*100*'Cost Data and Calculations'!$H130/56000</f>
        <v>0.5491071428571429</v>
      </c>
      <c r="R130" s="13">
        <f>FiveYearRepair*100*'Cost Data and Calculations'!$H130/14000</f>
        <v>2.1964285714285716</v>
      </c>
      <c r="S130" s="13">
        <f t="shared" si="14"/>
        <v>0.9170089285714286</v>
      </c>
      <c r="T130" s="13">
        <f>100*'Cost Data and Calculations'!J130/5000</f>
        <v>4</v>
      </c>
      <c r="U130" s="13">
        <f>100*'Cost Data and Calculations'!K130/5000</f>
        <v>7</v>
      </c>
      <c r="V130" s="13">
        <f t="shared" si="15"/>
        <v>6.01</v>
      </c>
      <c r="X130" s="37">
        <f>'Vehicle Counts'!I130*M130</f>
        <v>0.00026348715230481917</v>
      </c>
      <c r="Y130" s="37">
        <f>'Vehicle Counts'!I130*N130</f>
        <v>0.001664129382977805</v>
      </c>
      <c r="Z130" s="37">
        <f>'Vehicle Counts'!I130*O130</f>
        <v>0.009187420590651467</v>
      </c>
      <c r="AA130" s="37">
        <f>'Vehicle Counts'!I130*P130</f>
        <v>0.00498869008363791</v>
      </c>
      <c r="AB130" s="37">
        <f>'Vehicle Counts'!I130*S130</f>
        <v>0.005798881709457098</v>
      </c>
      <c r="AC130" s="37">
        <f>'Vehicle Counts'!I130*V130</f>
        <v>0.03800538684844712</v>
      </c>
    </row>
    <row r="131" spans="1:29" ht="12.75">
      <c r="A131" s="3"/>
      <c r="B131" s="3"/>
      <c r="C131">
        <v>22</v>
      </c>
      <c r="D131">
        <v>19</v>
      </c>
      <c r="E131">
        <v>1404</v>
      </c>
      <c r="F131" s="2">
        <f t="shared" si="17"/>
        <v>1049</v>
      </c>
      <c r="G131">
        <v>355</v>
      </c>
      <c r="H131">
        <v>615</v>
      </c>
      <c r="I131">
        <v>1</v>
      </c>
      <c r="J131">
        <f>IF(I131=1,'User Input and Results'!B$78,IF(I131=2,'User Input and Results'!B$79,IF(I131=3,'User Input and Results'!B$80,'User Input and Results'!B$81)))</f>
        <v>150</v>
      </c>
      <c r="K131">
        <f>IF(I131=1,'User Input and Results'!C$78,IF(I131=2,'User Input and Results'!C$79,IF(I131=3,'User Input and Results'!C$80,'User Input and Results'!C$81)))</f>
        <v>275</v>
      </c>
      <c r="M131" s="37">
        <f t="shared" si="19"/>
        <v>0.045454545454545456</v>
      </c>
      <c r="N131" s="13">
        <f t="shared" si="11"/>
        <v>0.1578947368421053</v>
      </c>
      <c r="O131" s="13">
        <f t="shared" si="12"/>
        <v>1.4985714285714287</v>
      </c>
      <c r="P131" s="13">
        <f t="shared" si="13"/>
        <v>0.7888888888888889</v>
      </c>
      <c r="Q131" s="13">
        <f>(1-FiveYearRepair)*100*'Cost Data and Calculations'!$H131/56000</f>
        <v>0.5491071428571429</v>
      </c>
      <c r="R131" s="13">
        <f>FiveYearRepair*100*'Cost Data and Calculations'!$H131/14000</f>
        <v>2.1964285714285716</v>
      </c>
      <c r="S131" s="13">
        <f t="shared" si="14"/>
        <v>0.9170089285714286</v>
      </c>
      <c r="T131" s="13">
        <f>100*'Cost Data and Calculations'!J131/5000</f>
        <v>3</v>
      </c>
      <c r="U131" s="13">
        <f>100*'Cost Data and Calculations'!K131/5000</f>
        <v>5.5</v>
      </c>
      <c r="V131" s="13">
        <f t="shared" si="15"/>
        <v>4.675</v>
      </c>
      <c r="X131" s="37">
        <f>'Vehicle Counts'!I131*M131</f>
        <v>0.0002874405297870755</v>
      </c>
      <c r="Y131" s="37">
        <f>'Vehicle Counts'!I131*N131</f>
        <v>0.0009984776297866835</v>
      </c>
      <c r="Z131" s="37">
        <f>'Vehicle Counts'!I131*O131</f>
        <v>0.009476503637751611</v>
      </c>
      <c r="AA131" s="37">
        <f>'Vehicle Counts'!I131*P131</f>
        <v>0.00498869008363791</v>
      </c>
      <c r="AB131" s="37">
        <f>'Vehicle Counts'!I131*S131</f>
        <v>0.005798881709457098</v>
      </c>
      <c r="AC131" s="37">
        <f>'Vehicle Counts'!I131*V131</f>
        <v>0.02956325848860071</v>
      </c>
    </row>
    <row r="132" spans="1:29" ht="12.75">
      <c r="A132" s="3"/>
      <c r="B132" s="3"/>
      <c r="C132">
        <v>17</v>
      </c>
      <c r="D132">
        <v>14</v>
      </c>
      <c r="E132">
        <v>1509</v>
      </c>
      <c r="F132" s="2">
        <f t="shared" si="17"/>
        <v>1070</v>
      </c>
      <c r="G132">
        <v>439</v>
      </c>
      <c r="H132">
        <v>721</v>
      </c>
      <c r="I132">
        <v>3</v>
      </c>
      <c r="J132">
        <f>IF(I132=1,'User Input and Results'!B$78,IF(I132=2,'User Input and Results'!B$79,IF(I132=3,'User Input and Results'!B$80,'User Input and Results'!B$81)))</f>
        <v>275</v>
      </c>
      <c r="K132">
        <f>IF(I132=1,'User Input and Results'!C$78,IF(I132=2,'User Input and Results'!C$79,IF(I132=3,'User Input and Results'!C$80,'User Input and Results'!C$81)))</f>
        <v>475</v>
      </c>
      <c r="M132" s="37">
        <f t="shared" si="19"/>
        <v>0.058823529411764705</v>
      </c>
      <c r="N132" s="13">
        <f t="shared" si="11"/>
        <v>0.2142857142857142</v>
      </c>
      <c r="O132" s="13">
        <f t="shared" si="12"/>
        <v>1.5285714285714285</v>
      </c>
      <c r="P132" s="13">
        <f t="shared" si="13"/>
        <v>0.9755555555555555</v>
      </c>
      <c r="Q132" s="13">
        <f>(1-FiveYearRepair)*100*'Cost Data and Calculations'!$H132/56000</f>
        <v>0.64375</v>
      </c>
      <c r="R132" s="13">
        <f>FiveYearRepair*100*'Cost Data and Calculations'!$H132/14000</f>
        <v>2.575</v>
      </c>
      <c r="S132" s="13">
        <f t="shared" si="14"/>
        <v>1.0750625</v>
      </c>
      <c r="T132" s="13">
        <f>100*'Cost Data and Calculations'!J132/5000</f>
        <v>5.5</v>
      </c>
      <c r="U132" s="13">
        <f>100*'Cost Data and Calculations'!K132/5000</f>
        <v>9.5</v>
      </c>
      <c r="V132" s="13">
        <f t="shared" si="15"/>
        <v>8.18</v>
      </c>
      <c r="X132" s="37">
        <f>'Vehicle Counts'!I132*M132</f>
        <v>0.0003719818620773918</v>
      </c>
      <c r="Y132" s="37">
        <f>'Vehicle Counts'!I132*N132</f>
        <v>0.0013550767832819267</v>
      </c>
      <c r="Z132" s="37">
        <f>'Vehicle Counts'!I132*O132</f>
        <v>0.00966621438741108</v>
      </c>
      <c r="AA132" s="37">
        <f>'Vehicle Counts'!I132*P132</f>
        <v>0.006169112525963499</v>
      </c>
      <c r="AB132" s="37">
        <f>'Vehicle Counts'!I132*S132</f>
        <v>0.006798363760192792</v>
      </c>
      <c r="AC132" s="37">
        <f>'Vehicle Counts'!I132*V132</f>
        <v>0.0517277977404821</v>
      </c>
    </row>
    <row r="133" spans="1:29" ht="12.75">
      <c r="A133" s="3"/>
      <c r="B133" s="3"/>
      <c r="F133" s="2">
        <f t="shared" si="17"/>
        <v>0</v>
      </c>
      <c r="M133" s="37"/>
      <c r="N133" s="13"/>
      <c r="O133" s="13"/>
      <c r="P133" s="13"/>
      <c r="Q133" s="13"/>
      <c r="R133" s="13"/>
      <c r="S133" s="13"/>
      <c r="T133" s="13"/>
      <c r="U133" s="13"/>
      <c r="V133" s="13"/>
      <c r="X133" s="37"/>
      <c r="Y133" s="37"/>
      <c r="Z133" s="37"/>
      <c r="AA133" s="37"/>
      <c r="AB133" s="37"/>
      <c r="AC133" s="37"/>
    </row>
    <row r="134" spans="1:29" ht="12.75">
      <c r="A134" s="3"/>
      <c r="B134" s="3"/>
      <c r="C134">
        <v>25</v>
      </c>
      <c r="D134">
        <v>22</v>
      </c>
      <c r="E134">
        <v>2049</v>
      </c>
      <c r="F134" s="2">
        <f>E134-G134</f>
        <v>1694</v>
      </c>
      <c r="G134">
        <v>355</v>
      </c>
      <c r="H134">
        <v>555</v>
      </c>
      <c r="I134">
        <v>1</v>
      </c>
      <c r="J134">
        <f>IF(I134=1,'User Input and Results'!B$78,IF(I134=2,'User Input and Results'!B$79,IF(I134=3,'User Input and Results'!B$80,'User Input and Results'!B$81)))</f>
        <v>150</v>
      </c>
      <c r="K134">
        <f>IF(I134=1,'User Input and Results'!C$78,IF(I134=2,'User Input and Results'!C$79,IF(I134=3,'User Input and Results'!C$80,'User Input and Results'!C$81)))</f>
        <v>275</v>
      </c>
      <c r="M134" s="37">
        <f>1/C134</f>
        <v>0.04</v>
      </c>
      <c r="N134" s="13">
        <f t="shared" si="11"/>
        <v>0.13636363636363646</v>
      </c>
      <c r="O134" s="13">
        <f t="shared" si="12"/>
        <v>2.42</v>
      </c>
      <c r="P134" s="13">
        <f t="shared" si="13"/>
        <v>0.7888888888888889</v>
      </c>
      <c r="Q134" s="13">
        <f>(1-FiveYearRepair)*100*'Cost Data and Calculations'!$H134/56000</f>
        <v>0.4955357142857143</v>
      </c>
      <c r="R134" s="13">
        <f>FiveYearRepair*100*'Cost Data and Calculations'!$H134/14000</f>
        <v>1.9821428571428572</v>
      </c>
      <c r="S134" s="13">
        <f t="shared" si="14"/>
        <v>0.8275446428571428</v>
      </c>
      <c r="T134" s="13">
        <f>100*'Cost Data and Calculations'!J134/5000</f>
        <v>3</v>
      </c>
      <c r="U134" s="13">
        <f>100*'Cost Data and Calculations'!K134/5000</f>
        <v>5.5</v>
      </c>
      <c r="V134" s="13">
        <f t="shared" si="15"/>
        <v>4.675</v>
      </c>
      <c r="X134" s="37">
        <f>'Vehicle Counts'!I134*M134</f>
        <v>0.00011217464729702245</v>
      </c>
      <c r="Y134" s="37">
        <f>'Vehicle Counts'!I134*N134</f>
        <v>0.0003824135703307586</v>
      </c>
      <c r="Z134" s="37">
        <f>'Vehicle Counts'!I134*O134</f>
        <v>0.006786566161469858</v>
      </c>
      <c r="AA134" s="37">
        <f>'Vehicle Counts'!I134*P134</f>
        <v>0.002212333321691276</v>
      </c>
      <c r="AB134" s="37">
        <f>'Vehicle Counts'!I134*S134</f>
        <v>0.00232073821087601</v>
      </c>
      <c r="AC134" s="37">
        <f>'Vehicle Counts'!I134*V134</f>
        <v>0.013110411902839498</v>
      </c>
    </row>
    <row r="135" spans="1:29" ht="12.75">
      <c r="A135" s="3"/>
      <c r="B135" s="3"/>
      <c r="C135">
        <v>18</v>
      </c>
      <c r="D135">
        <v>15</v>
      </c>
      <c r="E135">
        <v>2239</v>
      </c>
      <c r="F135" s="2">
        <f>E135-G135</f>
        <v>1744</v>
      </c>
      <c r="G135">
        <v>495</v>
      </c>
      <c r="H135">
        <v>735</v>
      </c>
      <c r="I135">
        <v>2</v>
      </c>
      <c r="J135">
        <f>IF(I135=1,'User Input and Results'!B$78,IF(I135=2,'User Input and Results'!B$79,IF(I135=3,'User Input and Results'!B$80,'User Input and Results'!B$81)))</f>
        <v>200</v>
      </c>
      <c r="K135">
        <f>IF(I135=1,'User Input and Results'!C$78,IF(I135=2,'User Input and Results'!C$79,IF(I135=3,'User Input and Results'!C$80,'User Input and Results'!C$81)))</f>
        <v>350</v>
      </c>
      <c r="M135" s="37">
        <f>1/C135</f>
        <v>0.05555555555555555</v>
      </c>
      <c r="N135" s="13">
        <f>C135/D135-1</f>
        <v>0.19999999999999996</v>
      </c>
      <c r="O135" s="13">
        <f>100*F135/70000</f>
        <v>2.4914285714285715</v>
      </c>
      <c r="P135" s="13">
        <f>100*G135/45000</f>
        <v>1.1</v>
      </c>
      <c r="Q135" s="13">
        <f>(1-FiveYearRepair)*100*'Cost Data and Calculations'!$H135/56000</f>
        <v>0.65625</v>
      </c>
      <c r="R135" s="13">
        <f>FiveYearRepair*100*'Cost Data and Calculations'!$H135/14000</f>
        <v>2.625</v>
      </c>
      <c r="S135" s="13">
        <f>Q135*LT5vmt+FiveYearRepair*R135*(1-LT5vmt)</f>
        <v>1.0959375</v>
      </c>
      <c r="T135" s="13">
        <f>100*'Cost Data and Calculations'!J135/5000</f>
        <v>4</v>
      </c>
      <c r="U135" s="13">
        <f>100*'Cost Data and Calculations'!K135/5000</f>
        <v>7</v>
      </c>
      <c r="V135" s="13">
        <f>T135*LT5vmt+U135*(1-LT5vmt)</f>
        <v>6.01</v>
      </c>
      <c r="X135" s="37">
        <f>'Vehicle Counts'!I135*M135</f>
        <v>0.000311596242491729</v>
      </c>
      <c r="Y135" s="37">
        <f>'Vehicle Counts'!I135*N135</f>
        <v>0.0011217464729702243</v>
      </c>
      <c r="Z135" s="37">
        <f>'Vehicle Counts'!I135*O135</f>
        <v>0.013973756063286226</v>
      </c>
      <c r="AA135" s="37">
        <f>'Vehicle Counts'!I135*P135</f>
        <v>0.006169605601336235</v>
      </c>
      <c r="AB135" s="37">
        <f>'Vehicle Counts'!I135*S135</f>
        <v>0.006146820126104027</v>
      </c>
      <c r="AC135" s="37">
        <f>'Vehicle Counts'!I135*V135</f>
        <v>0.033708481512755246</v>
      </c>
    </row>
    <row r="136" spans="1:29" ht="12.75">
      <c r="A136" s="3"/>
      <c r="B136" s="3"/>
      <c r="C136">
        <v>23</v>
      </c>
      <c r="D136">
        <v>17</v>
      </c>
      <c r="E136">
        <v>1937</v>
      </c>
      <c r="F136" s="2">
        <f>E136-G136</f>
        <v>1470</v>
      </c>
      <c r="G136">
        <v>467</v>
      </c>
      <c r="H136">
        <v>649</v>
      </c>
      <c r="I136">
        <v>2</v>
      </c>
      <c r="J136">
        <f>IF(I136=1,'User Input and Results'!B$78,IF(I136=2,'User Input and Results'!B$79,IF(I136=3,'User Input and Results'!B$80,'User Input and Results'!B$81)))</f>
        <v>200</v>
      </c>
      <c r="K136">
        <f>IF(I136=1,'User Input and Results'!C$78,IF(I136=2,'User Input and Results'!C$79,IF(I136=3,'User Input and Results'!C$80,'User Input and Results'!C$81)))</f>
        <v>350</v>
      </c>
      <c r="M136" s="37">
        <f>1/C136</f>
        <v>0.043478260869565216</v>
      </c>
      <c r="N136" s="13">
        <f>C136/D136-1</f>
        <v>0.3529411764705883</v>
      </c>
      <c r="O136" s="13">
        <f>100*F136/70000</f>
        <v>2.1</v>
      </c>
      <c r="P136" s="13">
        <f>100*G136/45000</f>
        <v>1.0377777777777777</v>
      </c>
      <c r="Q136" s="13">
        <f>(1-FiveYearRepair)*100*'Cost Data and Calculations'!$H136/56000</f>
        <v>0.5794642857142858</v>
      </c>
      <c r="R136" s="13">
        <f>FiveYearRepair*100*'Cost Data and Calculations'!$H136/14000</f>
        <v>2.317857142857143</v>
      </c>
      <c r="S136" s="13">
        <f>Q136*LT5vmt+FiveYearRepair*R136*(1-LT5vmt)</f>
        <v>0.9677053571428571</v>
      </c>
      <c r="T136" s="13">
        <f>100*'Cost Data and Calculations'!J136/5000</f>
        <v>4</v>
      </c>
      <c r="U136" s="13">
        <f>100*'Cost Data and Calculations'!K136/5000</f>
        <v>7</v>
      </c>
      <c r="V136" s="13">
        <f>T136*LT5vmt+U136*(1-LT5vmt)</f>
        <v>6.01</v>
      </c>
      <c r="X136" s="37">
        <f>'Vehicle Counts'!I136*M136</f>
        <v>0.00012192896445328526</v>
      </c>
      <c r="Y136" s="37">
        <f>'Vehicle Counts'!I136*N136</f>
        <v>0.00098977629967961</v>
      </c>
      <c r="Z136" s="37">
        <f>'Vehicle Counts'!I136*O136</f>
        <v>0.005889168983093679</v>
      </c>
      <c r="AA136" s="37">
        <f>'Vehicle Counts'!I136*P136</f>
        <v>0.0029103089048727487</v>
      </c>
      <c r="AB136" s="37">
        <f>'Vehicle Counts'!I136*S136</f>
        <v>0.0027138001781234784</v>
      </c>
      <c r="AC136" s="37">
        <f>'Vehicle Counts'!I136*V136</f>
        <v>0.016854240756377623</v>
      </c>
    </row>
    <row r="137" spans="1:2" ht="12.75">
      <c r="A137" s="3"/>
      <c r="B137" s="3"/>
    </row>
    <row r="138" spans="1:2" ht="12.75">
      <c r="A138" s="3"/>
      <c r="B138" s="3"/>
    </row>
    <row r="145" ht="12.75">
      <c r="B145" s="3"/>
    </row>
    <row r="146" spans="1:2" ht="12.75">
      <c r="A146" s="3"/>
      <c r="B146" s="3"/>
    </row>
    <row r="147" spans="1:2" ht="12.75">
      <c r="A147" s="3"/>
      <c r="B147" s="3"/>
    </row>
    <row r="148" spans="1:2" ht="12.75">
      <c r="A148" s="3"/>
      <c r="B148" s="3"/>
    </row>
    <row r="149" spans="1:2" ht="12.75">
      <c r="A149" s="3"/>
      <c r="B149" s="3"/>
    </row>
    <row r="150" spans="1:2" ht="12.75">
      <c r="A150" s="3"/>
      <c r="B150" s="3"/>
    </row>
    <row r="151" spans="1:2" ht="12.75">
      <c r="A151" s="3"/>
      <c r="B151" s="3"/>
    </row>
  </sheetData>
  <mergeCells count="2">
    <mergeCell ref="A76:B76"/>
    <mergeCell ref="A4:B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151"/>
  <sheetViews>
    <sheetView workbookViewId="0" topLeftCell="A1">
      <selection activeCell="B10" sqref="B10"/>
    </sheetView>
  </sheetViews>
  <sheetFormatPr defaultColWidth="9.140625" defaultRowHeight="12.75"/>
  <cols>
    <col min="1" max="1" width="14.8515625" style="0" customWidth="1"/>
    <col min="2" max="2" width="27.8515625" style="0" customWidth="1"/>
    <col min="3" max="3" width="10.421875" style="0" customWidth="1"/>
    <col min="4" max="4" width="11.140625" style="0" customWidth="1"/>
    <col min="5" max="5" width="10.57421875" style="0" customWidth="1"/>
    <col min="6" max="6" width="12.7109375" style="0" customWidth="1"/>
    <col min="7" max="7" width="11.28125" style="0" customWidth="1"/>
    <col min="8" max="8" width="12.57421875" style="0" customWidth="1"/>
  </cols>
  <sheetData>
    <row r="1" spans="3:8" ht="12.75">
      <c r="C1" t="s">
        <v>42</v>
      </c>
      <c r="F1" t="s">
        <v>29</v>
      </c>
      <c r="G1">
        <f>SUM(G5:G74)</f>
        <v>122700</v>
      </c>
      <c r="H1">
        <f>SUM(H5:H74)</f>
        <v>122700</v>
      </c>
    </row>
    <row r="2" spans="6:8" ht="12.75">
      <c r="F2" t="s">
        <v>30</v>
      </c>
      <c r="G2">
        <f>SUM(G77:G136)</f>
        <v>162247</v>
      </c>
      <c r="H2">
        <f>SUM(H77:H136)</f>
        <v>162247</v>
      </c>
    </row>
    <row r="3" spans="4:9" ht="12.75">
      <c r="D3" s="5"/>
      <c r="E3" s="5"/>
      <c r="F3" s="5"/>
      <c r="G3" s="5"/>
      <c r="H3" s="5"/>
      <c r="I3" s="5"/>
    </row>
    <row r="4" spans="1:13" ht="25.5">
      <c r="A4" s="71" t="s">
        <v>7</v>
      </c>
      <c r="B4" s="71"/>
      <c r="C4" t="s">
        <v>8</v>
      </c>
      <c r="D4" t="s">
        <v>9</v>
      </c>
      <c r="E4" t="s">
        <v>10</v>
      </c>
      <c r="F4" t="s">
        <v>11</v>
      </c>
      <c r="G4" s="1" t="s">
        <v>12</v>
      </c>
      <c r="H4" s="1" t="s">
        <v>13</v>
      </c>
      <c r="I4" s="1" t="s">
        <v>118</v>
      </c>
      <c r="J4" s="1"/>
      <c r="K4" s="1"/>
      <c r="L4" s="1"/>
      <c r="M4" s="1"/>
    </row>
    <row r="5" spans="1:9" ht="12.75">
      <c r="A5" s="3"/>
      <c r="C5" s="5">
        <f>SUM(C6:C8)</f>
        <v>162700</v>
      </c>
      <c r="D5" s="5">
        <f>SUM(D6:D8)</f>
        <v>191800</v>
      </c>
      <c r="E5" s="5">
        <f>SUM(E6:E8)</f>
        <v>173800</v>
      </c>
      <c r="F5" s="5">
        <f>SUM(C5:E5)/3</f>
        <v>176100</v>
      </c>
      <c r="G5" s="5">
        <v>4100</v>
      </c>
      <c r="H5" s="5"/>
      <c r="I5" s="5"/>
    </row>
    <row r="6" spans="1:9" ht="12.75">
      <c r="A6" s="3"/>
      <c r="B6" s="3"/>
      <c r="C6" s="5">
        <v>51000</v>
      </c>
      <c r="D6" s="5">
        <v>55500</v>
      </c>
      <c r="E6" s="5">
        <v>27300</v>
      </c>
      <c r="F6" s="5">
        <f>SUM(C6:E6)/3</f>
        <v>44600</v>
      </c>
      <c r="G6" s="5"/>
      <c r="H6" s="5">
        <f>G$5*(F6/F$5)</f>
        <v>1038.387279954571</v>
      </c>
      <c r="I6" s="14">
        <f>H6/H$1</f>
        <v>0.008462814017559666</v>
      </c>
    </row>
    <row r="7" spans="1:9" ht="12.75">
      <c r="A7" s="3"/>
      <c r="B7" s="3"/>
      <c r="C7" s="5">
        <v>50900</v>
      </c>
      <c r="D7" s="5">
        <v>59200</v>
      </c>
      <c r="E7" s="5">
        <v>62400</v>
      </c>
      <c r="F7" s="5">
        <f aca="true" t="shared" si="0" ref="F7:F42">SUM(C7:E7)/3</f>
        <v>57500</v>
      </c>
      <c r="G7" s="5"/>
      <c r="H7" s="5">
        <f>G$5*(F7/F$5)</f>
        <v>1338.7279954571266</v>
      </c>
      <c r="I7" s="14">
        <f aca="true" t="shared" si="1" ref="I7:I70">H7/H$1</f>
        <v>0.01091057861008253</v>
      </c>
    </row>
    <row r="8" spans="1:9" ht="12.75">
      <c r="A8" s="3"/>
      <c r="B8" s="3"/>
      <c r="C8" s="5">
        <v>60800</v>
      </c>
      <c r="D8" s="5">
        <v>77100</v>
      </c>
      <c r="E8" s="5">
        <v>84100</v>
      </c>
      <c r="F8" s="5">
        <f t="shared" si="0"/>
        <v>74000</v>
      </c>
      <c r="G8" s="5"/>
      <c r="H8" s="5">
        <f>G$5*(F8/F$5)</f>
        <v>1722.884724588302</v>
      </c>
      <c r="I8" s="14">
        <f t="shared" si="1"/>
        <v>0.014041440298193172</v>
      </c>
    </row>
    <row r="9" spans="1:9" ht="12.75">
      <c r="A9" s="3"/>
      <c r="B9" s="3"/>
      <c r="C9" s="5">
        <f>SUM(C10:C12)</f>
        <v>353700</v>
      </c>
      <c r="D9" s="5">
        <f>SUM(D10:D12)</f>
        <v>337300</v>
      </c>
      <c r="E9" s="5">
        <f>SUM(E10:E12)</f>
        <v>333400</v>
      </c>
      <c r="F9" s="5">
        <f>SUM(C9:E9)/3</f>
        <v>341466.6666666667</v>
      </c>
      <c r="G9" s="5">
        <v>7000</v>
      </c>
      <c r="H9" s="5"/>
      <c r="I9" s="14">
        <f t="shared" si="1"/>
        <v>0</v>
      </c>
    </row>
    <row r="10" spans="1:9" ht="12.75">
      <c r="A10" s="3"/>
      <c r="B10" s="3"/>
      <c r="C10" s="5">
        <v>145200</v>
      </c>
      <c r="D10" s="5">
        <v>139000</v>
      </c>
      <c r="E10" s="5">
        <v>107300</v>
      </c>
      <c r="F10" s="5">
        <f t="shared" si="0"/>
        <v>130500</v>
      </c>
      <c r="G10" s="5"/>
      <c r="H10" s="5">
        <f>G$9*(F10/F$9)</f>
        <v>2675.2245216712217</v>
      </c>
      <c r="I10" s="14">
        <f t="shared" si="1"/>
        <v>0.021802970836766272</v>
      </c>
    </row>
    <row r="11" spans="1:9" ht="12.75">
      <c r="A11" s="3"/>
      <c r="B11" s="3"/>
      <c r="C11" s="5">
        <v>114800</v>
      </c>
      <c r="D11" s="5">
        <v>107100</v>
      </c>
      <c r="E11" s="5">
        <v>120300</v>
      </c>
      <c r="F11" s="5">
        <f t="shared" si="0"/>
        <v>114066.66666666667</v>
      </c>
      <c r="G11" s="5"/>
      <c r="H11" s="5">
        <f>G$9*(F11/F$9)</f>
        <v>2338.344396720031</v>
      </c>
      <c r="I11" s="14">
        <f t="shared" si="1"/>
        <v>0.01905741154621052</v>
      </c>
    </row>
    <row r="12" spans="1:9" ht="12.75">
      <c r="A12" s="3"/>
      <c r="B12" s="3"/>
      <c r="C12" s="5">
        <v>93700</v>
      </c>
      <c r="D12" s="5">
        <v>91200</v>
      </c>
      <c r="E12" s="5">
        <v>105800</v>
      </c>
      <c r="F12" s="5">
        <f t="shared" si="0"/>
        <v>96900</v>
      </c>
      <c r="G12" s="5"/>
      <c r="H12" s="5">
        <f>G$9*(F12/F$9)</f>
        <v>1986.4310816087466</v>
      </c>
      <c r="I12" s="14">
        <f t="shared" si="1"/>
        <v>0.016189332368449442</v>
      </c>
    </row>
    <row r="13" spans="1:9" ht="12.75">
      <c r="A13" s="3"/>
      <c r="B13" s="3"/>
      <c r="C13" s="5">
        <f>SUM(C14:C17)</f>
        <v>946700</v>
      </c>
      <c r="D13" s="5">
        <f>SUM(D14:D17)</f>
        <v>679900</v>
      </c>
      <c r="E13" s="5">
        <f>SUM(E14:E17)</f>
        <v>618900</v>
      </c>
      <c r="F13" s="5">
        <f>SUM(C13:E13)/3</f>
        <v>748500</v>
      </c>
      <c r="G13" s="5">
        <v>19200</v>
      </c>
      <c r="H13" s="5"/>
      <c r="I13" s="14">
        <f t="shared" si="1"/>
        <v>0</v>
      </c>
    </row>
    <row r="14" spans="1:9" ht="12.75">
      <c r="A14" s="3"/>
      <c r="B14" s="3"/>
      <c r="C14" s="5">
        <v>94300</v>
      </c>
      <c r="D14" s="5">
        <v>112400</v>
      </c>
      <c r="E14" s="5">
        <v>110600</v>
      </c>
      <c r="F14" s="5">
        <f t="shared" si="0"/>
        <v>105766.66666666667</v>
      </c>
      <c r="G14" s="5"/>
      <c r="H14" s="5">
        <f>G$13*(F14/F$13)</f>
        <v>2713.0527722110887</v>
      </c>
      <c r="I14" s="14">
        <f t="shared" si="1"/>
        <v>0.022111269537172688</v>
      </c>
    </row>
    <row r="15" spans="1:9" ht="12.75">
      <c r="A15" s="3"/>
      <c r="B15" s="3"/>
      <c r="C15" s="5">
        <v>286900</v>
      </c>
      <c r="D15" s="5">
        <v>38500</v>
      </c>
      <c r="E15" s="5">
        <v>0</v>
      </c>
      <c r="F15" s="5">
        <f t="shared" si="0"/>
        <v>108466.66666666667</v>
      </c>
      <c r="G15" s="5"/>
      <c r="H15" s="5">
        <f>G$13*(F15/F$13)</f>
        <v>2782.3112892451572</v>
      </c>
      <c r="I15" s="14">
        <f t="shared" si="1"/>
        <v>0.02267572362872989</v>
      </c>
    </row>
    <row r="16" spans="1:9" ht="12.75">
      <c r="A16" s="3"/>
      <c r="B16" s="3"/>
      <c r="C16" s="5">
        <v>174700</v>
      </c>
      <c r="D16" s="5">
        <v>164600</v>
      </c>
      <c r="E16" s="5">
        <v>142000</v>
      </c>
      <c r="F16" s="5">
        <f t="shared" si="0"/>
        <v>160433.33333333334</v>
      </c>
      <c r="G16" s="5"/>
      <c r="H16" s="5">
        <f>G$13*(F16/F$13)</f>
        <v>4115.3239812959255</v>
      </c>
      <c r="I16" s="14">
        <f t="shared" si="1"/>
        <v>0.03353972274894805</v>
      </c>
    </row>
    <row r="17" spans="1:9" ht="12.75">
      <c r="A17" s="3"/>
      <c r="B17" s="3"/>
      <c r="C17" s="5">
        <v>390800</v>
      </c>
      <c r="D17" s="5">
        <v>364400</v>
      </c>
      <c r="E17" s="5">
        <v>366300</v>
      </c>
      <c r="F17" s="5">
        <f t="shared" si="0"/>
        <v>373833.3333333333</v>
      </c>
      <c r="G17" s="5"/>
      <c r="H17" s="5">
        <f>G$13*(F17/F$13)</f>
        <v>9589.311957247828</v>
      </c>
      <c r="I17" s="14">
        <f t="shared" si="1"/>
        <v>0.07815250168906135</v>
      </c>
    </row>
    <row r="18" spans="1:9" ht="12.75">
      <c r="A18" s="3"/>
      <c r="B18" s="3"/>
      <c r="C18" s="5">
        <f>SUM(C19:C21)</f>
        <v>154400</v>
      </c>
      <c r="D18" s="5">
        <f>SUM(D19:D21)</f>
        <v>112700</v>
      </c>
      <c r="E18" s="5">
        <f>SUM(E19:E21)</f>
        <v>129600</v>
      </c>
      <c r="F18" s="5">
        <f>SUM(C18:E18)/3</f>
        <v>132233.33333333334</v>
      </c>
      <c r="G18" s="5">
        <v>1400</v>
      </c>
      <c r="H18" s="5"/>
      <c r="I18" s="14">
        <f t="shared" si="1"/>
        <v>0</v>
      </c>
    </row>
    <row r="19" spans="1:9" ht="12.75">
      <c r="A19" s="3"/>
      <c r="B19" s="3"/>
      <c r="C19" s="5">
        <v>22300</v>
      </c>
      <c r="D19" s="5">
        <v>28000</v>
      </c>
      <c r="E19" s="5">
        <v>35400</v>
      </c>
      <c r="F19" s="5">
        <f t="shared" si="0"/>
        <v>28566.666666666668</v>
      </c>
      <c r="G19" s="5"/>
      <c r="H19" s="6">
        <f>G$18*(F19/F$18)</f>
        <v>302.44517267456513</v>
      </c>
      <c r="I19" s="14">
        <f t="shared" si="1"/>
        <v>0.0024649158327185424</v>
      </c>
    </row>
    <row r="20" spans="1:9" ht="12.75">
      <c r="A20" s="3"/>
      <c r="B20" s="3"/>
      <c r="C20" s="5">
        <v>51300</v>
      </c>
      <c r="D20" s="6">
        <v>0</v>
      </c>
      <c r="E20" s="5">
        <v>0</v>
      </c>
      <c r="F20" s="5">
        <f t="shared" si="0"/>
        <v>17100</v>
      </c>
      <c r="G20" s="5"/>
      <c r="H20" s="6">
        <f>G$18*(F20/F$18)</f>
        <v>181.04360978069067</v>
      </c>
      <c r="I20" s="14">
        <f t="shared" si="1"/>
        <v>0.0014754980422224178</v>
      </c>
    </row>
    <row r="21" spans="1:9" ht="12.75">
      <c r="A21" s="3"/>
      <c r="B21" s="3"/>
      <c r="C21" s="5">
        <v>80800</v>
      </c>
      <c r="D21" s="5">
        <v>84700</v>
      </c>
      <c r="E21" s="5">
        <v>94200</v>
      </c>
      <c r="F21" s="5">
        <f t="shared" si="0"/>
        <v>86566.66666666667</v>
      </c>
      <c r="G21" s="5"/>
      <c r="H21" s="6">
        <f>G$18*(F21/F$18)</f>
        <v>916.5112175447441</v>
      </c>
      <c r="I21" s="14">
        <f t="shared" si="1"/>
        <v>0.007469529075344288</v>
      </c>
    </row>
    <row r="22" spans="1:9" ht="12.75">
      <c r="A22" s="3"/>
      <c r="B22" s="3"/>
      <c r="C22" s="5">
        <f>SUM(C23:C25)</f>
        <v>267400</v>
      </c>
      <c r="D22" s="5">
        <f>SUM(D23:D25)</f>
        <v>280300</v>
      </c>
      <c r="E22" s="5">
        <f>SUM(E23:E25)</f>
        <v>245200</v>
      </c>
      <c r="F22" s="5">
        <f>SUM(C22:E22)/3</f>
        <v>264300</v>
      </c>
      <c r="G22" s="5">
        <v>4600</v>
      </c>
      <c r="H22" s="5"/>
      <c r="I22" s="14">
        <f t="shared" si="1"/>
        <v>0</v>
      </c>
    </row>
    <row r="23" spans="1:9" ht="12.75">
      <c r="A23" s="3"/>
      <c r="B23" s="3"/>
      <c r="C23" s="5">
        <v>41200</v>
      </c>
      <c r="D23" s="5">
        <v>59000</v>
      </c>
      <c r="E23" s="5">
        <v>34000</v>
      </c>
      <c r="F23" s="5">
        <f t="shared" si="0"/>
        <v>44733.333333333336</v>
      </c>
      <c r="G23" s="5"/>
      <c r="H23" s="5">
        <f>G$22*(F23/F$22)</f>
        <v>778.5597174927482</v>
      </c>
      <c r="I23" s="14">
        <f t="shared" si="1"/>
        <v>0.0063452299714160405</v>
      </c>
    </row>
    <row r="24" spans="1:9" ht="12.75">
      <c r="A24" s="3"/>
      <c r="B24" s="3"/>
      <c r="C24" s="5">
        <v>122800</v>
      </c>
      <c r="D24" s="5">
        <v>119900</v>
      </c>
      <c r="E24" s="5">
        <v>113600</v>
      </c>
      <c r="F24" s="5">
        <f t="shared" si="0"/>
        <v>118766.66666666667</v>
      </c>
      <c r="G24" s="5"/>
      <c r="H24" s="5">
        <f>G$22*(F24/F$22)</f>
        <v>2067.070248455039</v>
      </c>
      <c r="I24" s="14">
        <f t="shared" si="1"/>
        <v>0.016846538292217106</v>
      </c>
    </row>
    <row r="25" spans="1:9" ht="12.75">
      <c r="A25" s="3"/>
      <c r="B25" s="3"/>
      <c r="C25" s="5">
        <v>103400</v>
      </c>
      <c r="D25" s="5">
        <v>101400</v>
      </c>
      <c r="E25" s="5">
        <v>97600</v>
      </c>
      <c r="F25" s="5">
        <f t="shared" si="0"/>
        <v>100800</v>
      </c>
      <c r="G25" s="5"/>
      <c r="H25" s="5">
        <f>G$22*(F25/F$22)</f>
        <v>1754.3700340522134</v>
      </c>
      <c r="I25" s="14">
        <f t="shared" si="1"/>
        <v>0.014298044287304103</v>
      </c>
    </row>
    <row r="26" spans="1:9" ht="12.75">
      <c r="A26" s="3"/>
      <c r="B26" s="3"/>
      <c r="C26" s="5">
        <f>SUM(C27:C30)</f>
        <v>411800</v>
      </c>
      <c r="D26" s="5">
        <f>SUM(D27:D30)</f>
        <v>431100</v>
      </c>
      <c r="E26" s="5">
        <f>SUM(E27:E30)</f>
        <v>379600</v>
      </c>
      <c r="F26" s="5">
        <f>SUM(C26:E26)/3</f>
        <v>407500</v>
      </c>
      <c r="G26" s="5">
        <v>11500</v>
      </c>
      <c r="H26" s="5"/>
      <c r="I26" s="14">
        <f t="shared" si="1"/>
        <v>0</v>
      </c>
    </row>
    <row r="27" spans="1:9" ht="12.75">
      <c r="A27" s="3"/>
      <c r="B27" s="3"/>
      <c r="C27" s="5">
        <v>146700</v>
      </c>
      <c r="D27" s="5">
        <v>151600</v>
      </c>
      <c r="E27" s="5">
        <v>122700</v>
      </c>
      <c r="F27" s="5">
        <f t="shared" si="0"/>
        <v>140333.33333333334</v>
      </c>
      <c r="G27" s="5"/>
      <c r="H27" s="5">
        <f>G$26*(F27/F$26)</f>
        <v>3960.3271983640084</v>
      </c>
      <c r="I27" s="14">
        <f t="shared" si="1"/>
        <v>0.03227650528414025</v>
      </c>
    </row>
    <row r="28" spans="1:9" ht="12.75">
      <c r="A28" s="3"/>
      <c r="B28" s="3"/>
      <c r="C28" s="5">
        <v>150600</v>
      </c>
      <c r="D28" s="5">
        <v>144000</v>
      </c>
      <c r="E28" s="5">
        <v>136200</v>
      </c>
      <c r="F28" s="5">
        <f t="shared" si="0"/>
        <v>143600</v>
      </c>
      <c r="G28" s="5"/>
      <c r="H28" s="5">
        <f>G$26*(F28/F$26)</f>
        <v>4052.5153374233128</v>
      </c>
      <c r="I28" s="14">
        <f t="shared" si="1"/>
        <v>0.033027834860825694</v>
      </c>
    </row>
    <row r="29" spans="1:9" ht="12.75">
      <c r="A29" s="3"/>
      <c r="B29" s="3"/>
      <c r="C29" s="5">
        <v>48600</v>
      </c>
      <c r="D29" s="5">
        <v>61700</v>
      </c>
      <c r="E29" s="5">
        <v>57700</v>
      </c>
      <c r="F29" s="5">
        <f t="shared" si="0"/>
        <v>56000</v>
      </c>
      <c r="G29" s="5"/>
      <c r="H29" s="5">
        <f>G$26*(F29/F$26)</f>
        <v>1580.3680981595094</v>
      </c>
      <c r="I29" s="14">
        <f t="shared" si="1"/>
        <v>0.012879935600321999</v>
      </c>
    </row>
    <row r="30" spans="1:9" ht="12.75">
      <c r="A30" s="3"/>
      <c r="B30" s="3"/>
      <c r="C30" s="5">
        <v>65900</v>
      </c>
      <c r="D30" s="5">
        <v>73800</v>
      </c>
      <c r="E30" s="5">
        <v>63000</v>
      </c>
      <c r="F30" s="5">
        <f t="shared" si="0"/>
        <v>67566.66666666667</v>
      </c>
      <c r="G30" s="5"/>
      <c r="H30" s="5">
        <f>G$26*(F30/F$26)</f>
        <v>1906.78936605317</v>
      </c>
      <c r="I30" s="14">
        <f t="shared" si="1"/>
        <v>0.015540255632055175</v>
      </c>
    </row>
    <row r="31" spans="1:9" ht="12.75">
      <c r="A31" s="3"/>
      <c r="B31" s="3"/>
      <c r="C31" s="7">
        <f>SUM(C32:C34)</f>
        <v>147600</v>
      </c>
      <c r="D31" s="7">
        <f>SUM(D32:D34)</f>
        <v>136800</v>
      </c>
      <c r="E31" s="7">
        <f>SUM(E32:E34)</f>
        <v>149800</v>
      </c>
      <c r="F31" s="5">
        <f>SUM(C31:E31)/3</f>
        <v>144733.33333333334</v>
      </c>
      <c r="G31" s="5">
        <v>2200</v>
      </c>
      <c r="H31" s="7"/>
      <c r="I31" s="14">
        <f t="shared" si="1"/>
        <v>0</v>
      </c>
    </row>
    <row r="32" spans="1:9" ht="12.75">
      <c r="A32" s="3"/>
      <c r="B32" s="3"/>
      <c r="C32" s="5">
        <v>104900</v>
      </c>
      <c r="D32" s="5">
        <v>88200</v>
      </c>
      <c r="E32" s="5">
        <v>97400</v>
      </c>
      <c r="F32" s="5">
        <f t="shared" si="0"/>
        <v>96833.33333333333</v>
      </c>
      <c r="G32" s="5"/>
      <c r="H32" s="5">
        <f>G$31*(F32/F$31)</f>
        <v>1471.9023491478579</v>
      </c>
      <c r="I32" s="14">
        <f t="shared" si="1"/>
        <v>0.011995944165834212</v>
      </c>
    </row>
    <row r="33" spans="1:9" ht="12.75">
      <c r="A33" s="3"/>
      <c r="B33" s="3"/>
      <c r="C33" s="5">
        <v>13000</v>
      </c>
      <c r="D33" s="5">
        <v>14900</v>
      </c>
      <c r="E33" s="5">
        <v>16000</v>
      </c>
      <c r="F33" s="5">
        <f t="shared" si="0"/>
        <v>14633.333333333334</v>
      </c>
      <c r="G33" s="5"/>
      <c r="H33" s="5">
        <f>G$31*(F33/F$31)</f>
        <v>222.43205895900508</v>
      </c>
      <c r="I33" s="14">
        <f t="shared" si="1"/>
        <v>0.0018128122164548092</v>
      </c>
    </row>
    <row r="34" spans="1:9" ht="12.75">
      <c r="A34" s="3"/>
      <c r="B34" s="3"/>
      <c r="C34" s="6">
        <v>29700</v>
      </c>
      <c r="D34" s="6">
        <v>33700</v>
      </c>
      <c r="E34" s="6">
        <v>36400</v>
      </c>
      <c r="F34" s="5">
        <f t="shared" si="0"/>
        <v>33266.666666666664</v>
      </c>
      <c r="H34" s="5">
        <f>G$31*(F34/F$31)</f>
        <v>505.6655918931367</v>
      </c>
      <c r="I34" s="14">
        <f t="shared" si="1"/>
        <v>0.004121153968159224</v>
      </c>
    </row>
    <row r="35" spans="1:9" ht="12.75">
      <c r="A35" s="3"/>
      <c r="B35" s="3"/>
      <c r="C35" s="7">
        <f>SUM(C36:C42)</f>
        <v>814000</v>
      </c>
      <c r="D35" s="7">
        <f>SUM(D36:D42)</f>
        <v>724200</v>
      </c>
      <c r="E35" s="7">
        <f>SUM(E36:E42)</f>
        <v>657900</v>
      </c>
      <c r="F35" s="5">
        <f>SUM(C35:E35)/3</f>
        <v>732033.3333333334</v>
      </c>
      <c r="G35" s="5">
        <v>17800</v>
      </c>
      <c r="H35" s="7"/>
      <c r="I35" s="14">
        <f t="shared" si="1"/>
        <v>0</v>
      </c>
    </row>
    <row r="36" spans="1:9" ht="12.75">
      <c r="A36" s="3"/>
      <c r="B36" s="3"/>
      <c r="C36" s="7">
        <v>42000</v>
      </c>
      <c r="D36" s="7">
        <v>39400</v>
      </c>
      <c r="E36" s="7">
        <v>47600</v>
      </c>
      <c r="F36" s="5">
        <f t="shared" si="0"/>
        <v>43000</v>
      </c>
      <c r="G36" s="5"/>
      <c r="H36" s="7">
        <f aca="true" t="shared" si="2" ref="H36:H42">G$35*(F36/F$35)</f>
        <v>1045.5808023314055</v>
      </c>
      <c r="I36" s="14">
        <f t="shared" si="1"/>
        <v>0.008521440931796296</v>
      </c>
    </row>
    <row r="37" spans="1:9" ht="12.75">
      <c r="A37" s="3"/>
      <c r="B37" s="3"/>
      <c r="C37" s="7">
        <v>237100</v>
      </c>
      <c r="D37" s="7">
        <v>263600</v>
      </c>
      <c r="E37" s="7">
        <v>253800</v>
      </c>
      <c r="F37" s="5">
        <f t="shared" si="0"/>
        <v>251500</v>
      </c>
      <c r="G37" s="5"/>
      <c r="H37" s="7">
        <f t="shared" si="2"/>
        <v>6115.431902008105</v>
      </c>
      <c r="I37" s="14">
        <f t="shared" si="1"/>
        <v>0.04984052079876206</v>
      </c>
    </row>
    <row r="38" spans="1:9" ht="12.75">
      <c r="A38" s="3"/>
      <c r="B38" s="3"/>
      <c r="C38" s="7">
        <v>31700</v>
      </c>
      <c r="D38" s="7">
        <v>28800</v>
      </c>
      <c r="E38" s="7">
        <v>28600</v>
      </c>
      <c r="F38" s="5">
        <f t="shared" si="0"/>
        <v>29700</v>
      </c>
      <c r="G38" s="5"/>
      <c r="H38" s="7">
        <f t="shared" si="2"/>
        <v>722.1802285870407</v>
      </c>
      <c r="I38" s="14">
        <f t="shared" si="1"/>
        <v>0.0058857394342872104</v>
      </c>
    </row>
    <row r="39" spans="1:9" ht="12.75">
      <c r="A39" s="3"/>
      <c r="B39" s="3"/>
      <c r="C39" s="7">
        <v>51400</v>
      </c>
      <c r="D39" s="7">
        <v>44200</v>
      </c>
      <c r="E39" s="7">
        <v>48100</v>
      </c>
      <c r="F39" s="5">
        <f t="shared" si="0"/>
        <v>47900</v>
      </c>
      <c r="G39" s="5"/>
      <c r="H39" s="7">
        <f t="shared" si="2"/>
        <v>1164.728382131961</v>
      </c>
      <c r="I39" s="14">
        <f t="shared" si="1"/>
        <v>0.009492488851931224</v>
      </c>
    </row>
    <row r="40" spans="1:9" ht="12.75">
      <c r="A40" s="3"/>
      <c r="B40" s="3"/>
      <c r="C40" s="7">
        <v>173300</v>
      </c>
      <c r="D40" s="7">
        <v>68900</v>
      </c>
      <c r="E40" s="7">
        <v>0</v>
      </c>
      <c r="F40" s="5">
        <f t="shared" si="0"/>
        <v>80733.33333333333</v>
      </c>
      <c r="G40" s="5"/>
      <c r="H40" s="7">
        <f t="shared" si="2"/>
        <v>1963.0982195710576</v>
      </c>
      <c r="I40" s="14">
        <f t="shared" si="1"/>
        <v>0.01599917049365165</v>
      </c>
    </row>
    <row r="41" spans="1:9" ht="12.75">
      <c r="A41" s="3"/>
      <c r="B41" s="3"/>
      <c r="C41" s="7">
        <v>211300</v>
      </c>
      <c r="D41" s="7">
        <v>213300</v>
      </c>
      <c r="E41" s="7">
        <v>216900</v>
      </c>
      <c r="F41" s="5">
        <f t="shared" si="0"/>
        <v>213833.33333333334</v>
      </c>
      <c r="G41" s="5"/>
      <c r="H41" s="7">
        <f t="shared" si="2"/>
        <v>5199.535540275943</v>
      </c>
      <c r="I41" s="14">
        <f t="shared" si="1"/>
        <v>0.04237600277323507</v>
      </c>
    </row>
    <row r="42" spans="1:9" ht="12.75">
      <c r="A42" s="3"/>
      <c r="B42" s="3"/>
      <c r="C42" s="7">
        <v>67200</v>
      </c>
      <c r="D42" s="7">
        <v>66000</v>
      </c>
      <c r="E42" s="7">
        <v>62900</v>
      </c>
      <c r="F42" s="5">
        <f t="shared" si="0"/>
        <v>65366.666666666664</v>
      </c>
      <c r="G42" s="5"/>
      <c r="H42" s="7">
        <f t="shared" si="2"/>
        <v>1589.4449250944854</v>
      </c>
      <c r="I42" s="14">
        <f t="shared" si="1"/>
        <v>0.012953911369963206</v>
      </c>
    </row>
    <row r="43" spans="1:9" ht="12.75">
      <c r="A43" s="3"/>
      <c r="B43" s="3"/>
      <c r="C43" s="5">
        <f>SUM(C44:C46)</f>
        <v>215300</v>
      </c>
      <c r="D43" s="5">
        <f>SUM(D44:D46)</f>
        <v>221600</v>
      </c>
      <c r="E43" s="5">
        <f>SUM(E44:E46)</f>
        <v>128200</v>
      </c>
      <c r="F43" s="5">
        <f>SUM(C43:E43)/3</f>
        <v>188366.66666666666</v>
      </c>
      <c r="G43" s="5">
        <v>6200</v>
      </c>
      <c r="H43" s="5"/>
      <c r="I43" s="14">
        <f t="shared" si="1"/>
        <v>0</v>
      </c>
    </row>
    <row r="44" spans="1:9" ht="12.75">
      <c r="A44" s="3"/>
      <c r="B44" s="3"/>
      <c r="C44" s="5">
        <v>122900</v>
      </c>
      <c r="D44" s="5">
        <v>117100</v>
      </c>
      <c r="E44" s="5">
        <v>21400</v>
      </c>
      <c r="F44" s="5">
        <f aca="true" t="shared" si="3" ref="F44:F55">SUM(C44:E44)/3</f>
        <v>87133.33333333333</v>
      </c>
      <c r="G44" s="5"/>
      <c r="H44" s="7">
        <f>G$43*(F44/F$43)</f>
        <v>2867.952574765528</v>
      </c>
      <c r="I44" s="14">
        <f t="shared" si="1"/>
        <v>0.023373696615855973</v>
      </c>
    </row>
    <row r="45" spans="1:9" ht="12.75">
      <c r="A45" s="3"/>
      <c r="B45" s="3"/>
      <c r="C45" s="5">
        <v>26000</v>
      </c>
      <c r="D45" s="5">
        <v>17200</v>
      </c>
      <c r="E45" s="5">
        <v>19900</v>
      </c>
      <c r="F45" s="5">
        <f t="shared" si="3"/>
        <v>21033.333333333332</v>
      </c>
      <c r="G45" s="5"/>
      <c r="H45" s="7">
        <f>G$43*(F45/F$43)</f>
        <v>692.3022473898426</v>
      </c>
      <c r="I45" s="14">
        <f t="shared" si="1"/>
        <v>0.005642235105051692</v>
      </c>
    </row>
    <row r="46" spans="1:9" ht="12.75">
      <c r="A46" s="3"/>
      <c r="B46" s="3"/>
      <c r="C46" s="5">
        <v>66400</v>
      </c>
      <c r="D46" s="5">
        <v>87300</v>
      </c>
      <c r="E46" s="5">
        <v>86900</v>
      </c>
      <c r="F46" s="5">
        <f t="shared" si="3"/>
        <v>80200</v>
      </c>
      <c r="G46" s="5"/>
      <c r="H46" s="7">
        <f>G$43*(F46/F$43)</f>
        <v>2639.7451778446293</v>
      </c>
      <c r="I46" s="14">
        <f t="shared" si="1"/>
        <v>0.02151381563035558</v>
      </c>
    </row>
    <row r="47" spans="1:9" ht="12.75">
      <c r="A47" s="3"/>
      <c r="B47" s="3"/>
      <c r="C47" s="5">
        <f>SUM(C48:C52)</f>
        <v>550600</v>
      </c>
      <c r="D47" s="5">
        <f>SUM(D48:D52)</f>
        <v>535613</v>
      </c>
      <c r="E47" s="5">
        <f>SUM(E48:E52)</f>
        <v>471900</v>
      </c>
      <c r="F47" s="5">
        <f>SUM(C47:E47)/3</f>
        <v>519371</v>
      </c>
      <c r="G47" s="5">
        <v>14900</v>
      </c>
      <c r="H47" s="5"/>
      <c r="I47" s="14">
        <f t="shared" si="1"/>
        <v>0</v>
      </c>
    </row>
    <row r="48" spans="1:9" ht="12.75">
      <c r="A48" s="3"/>
      <c r="B48" s="3"/>
      <c r="C48" s="5">
        <v>64500</v>
      </c>
      <c r="D48" s="5">
        <v>44300</v>
      </c>
      <c r="E48" s="5">
        <v>59500</v>
      </c>
      <c r="F48" s="5">
        <f t="shared" si="3"/>
        <v>56100</v>
      </c>
      <c r="G48" s="5"/>
      <c r="H48" s="5">
        <f>G$47*(F48/F$47)</f>
        <v>1609.4275575648235</v>
      </c>
      <c r="I48" s="14">
        <f t="shared" si="1"/>
        <v>0.01311676901030826</v>
      </c>
    </row>
    <row r="49" spans="1:9" ht="12.75">
      <c r="A49" s="3"/>
      <c r="B49" s="3"/>
      <c r="C49" s="5">
        <v>31300</v>
      </c>
      <c r="D49" s="5">
        <v>32500</v>
      </c>
      <c r="E49" s="5">
        <v>31800</v>
      </c>
      <c r="F49" s="5">
        <f t="shared" si="3"/>
        <v>31866.666666666668</v>
      </c>
      <c r="G49" s="5"/>
      <c r="H49" s="5">
        <f>G$47*(F49/F$47)</f>
        <v>914.2084046535778</v>
      </c>
      <c r="I49" s="14">
        <f t="shared" si="1"/>
        <v>0.0074507612441204385</v>
      </c>
    </row>
    <row r="50" spans="1:9" ht="12.75">
      <c r="A50" s="3"/>
      <c r="B50" s="3"/>
      <c r="C50" s="5">
        <v>221000</v>
      </c>
      <c r="D50" s="5">
        <v>228900</v>
      </c>
      <c r="E50" s="5">
        <v>177200</v>
      </c>
      <c r="F50" s="5">
        <f t="shared" si="3"/>
        <v>209033.33333333334</v>
      </c>
      <c r="G50" s="5"/>
      <c r="H50" s="5">
        <f>G$47*(F50/F$47)</f>
        <v>5996.862871948312</v>
      </c>
      <c r="I50" s="14">
        <f t="shared" si="1"/>
        <v>0.04887418803543857</v>
      </c>
    </row>
    <row r="51" spans="1:9" ht="12.75">
      <c r="A51" s="3"/>
      <c r="B51" s="3"/>
      <c r="C51" s="5">
        <v>150800</v>
      </c>
      <c r="D51" s="5">
        <v>143513</v>
      </c>
      <c r="E51" s="5">
        <v>120200</v>
      </c>
      <c r="F51" s="5">
        <f t="shared" si="3"/>
        <v>138171</v>
      </c>
      <c r="G51" s="5"/>
      <c r="H51" s="5">
        <f>G$47*(F51/F$47)</f>
        <v>3963.925402072892</v>
      </c>
      <c r="I51" s="14">
        <f t="shared" si="1"/>
        <v>0.032305830497741585</v>
      </c>
    </row>
    <row r="52" spans="1:9" ht="12.75">
      <c r="A52" s="3"/>
      <c r="B52" s="3"/>
      <c r="C52" s="5">
        <v>83000</v>
      </c>
      <c r="D52" s="5">
        <v>86400</v>
      </c>
      <c r="E52" s="5">
        <v>83200</v>
      </c>
      <c r="F52" s="5">
        <f t="shared" si="3"/>
        <v>84200</v>
      </c>
      <c r="G52" s="5"/>
      <c r="H52" s="5">
        <f>G$47*(F52/F$47)</f>
        <v>2415.5757637603947</v>
      </c>
      <c r="I52" s="14">
        <f t="shared" si="1"/>
        <v>0.019686844040427014</v>
      </c>
    </row>
    <row r="53" spans="1:9" ht="12.75">
      <c r="A53" s="3"/>
      <c r="B53" s="3"/>
      <c r="C53" s="5">
        <f>SUM(C54:C55)</f>
        <v>195700</v>
      </c>
      <c r="D53" s="5">
        <f>SUM(D54:D55)</f>
        <v>165400</v>
      </c>
      <c r="E53" s="5">
        <f>SUM(E54:E55)</f>
        <v>175300</v>
      </c>
      <c r="F53" s="5">
        <f>SUM(C53:E53)/3</f>
        <v>178800</v>
      </c>
      <c r="G53" s="5">
        <v>7100</v>
      </c>
      <c r="H53" s="5"/>
      <c r="I53" s="14">
        <f t="shared" si="1"/>
        <v>0</v>
      </c>
    </row>
    <row r="54" spans="1:9" ht="12.75">
      <c r="A54" s="3"/>
      <c r="B54" s="3"/>
      <c r="C54" s="5">
        <v>63900</v>
      </c>
      <c r="D54" s="5">
        <v>16900</v>
      </c>
      <c r="E54" s="5">
        <v>0</v>
      </c>
      <c r="F54" s="5">
        <f t="shared" si="3"/>
        <v>26933.333333333332</v>
      </c>
      <c r="G54" s="5"/>
      <c r="H54" s="5">
        <f>G$53*(F54/F$53)</f>
        <v>1069.5003728560775</v>
      </c>
      <c r="I54" s="14">
        <f t="shared" si="1"/>
        <v>0.008716384456854747</v>
      </c>
    </row>
    <row r="55" spans="1:9" ht="12.75">
      <c r="A55" s="3"/>
      <c r="B55" s="3"/>
      <c r="C55" s="5">
        <v>131800</v>
      </c>
      <c r="D55" s="5">
        <v>148500</v>
      </c>
      <c r="E55" s="5">
        <v>175300</v>
      </c>
      <c r="F55" s="5">
        <f t="shared" si="3"/>
        <v>151866.66666666666</v>
      </c>
      <c r="G55" s="5"/>
      <c r="H55" s="5">
        <f>G$53*(F55/F$53)</f>
        <v>6030.499627143922</v>
      </c>
      <c r="I55" s="14">
        <f t="shared" si="1"/>
        <v>0.04914832621959187</v>
      </c>
    </row>
    <row r="56" spans="1:9" ht="12.75">
      <c r="A56" s="3"/>
      <c r="B56" s="3"/>
      <c r="G56" s="8">
        <v>1470</v>
      </c>
      <c r="I56" s="14">
        <f t="shared" si="1"/>
        <v>0</v>
      </c>
    </row>
    <row r="57" spans="1:9" ht="12.75">
      <c r="A57" s="3"/>
      <c r="B57" s="3"/>
      <c r="C57" s="5"/>
      <c r="D57" s="5"/>
      <c r="E57" s="5"/>
      <c r="F57" s="9"/>
      <c r="G57" s="8"/>
      <c r="H57" s="5">
        <f>G56</f>
        <v>1470</v>
      </c>
      <c r="I57" s="14">
        <f t="shared" si="1"/>
        <v>0.011980440097799512</v>
      </c>
    </row>
    <row r="58" spans="1:9" ht="12.75">
      <c r="A58" s="3"/>
      <c r="B58" s="3"/>
      <c r="C58" s="5"/>
      <c r="D58" s="5"/>
      <c r="E58" s="5"/>
      <c r="F58" s="9"/>
      <c r="G58" s="8">
        <v>7430</v>
      </c>
      <c r="H58" s="5"/>
      <c r="I58" s="14">
        <f t="shared" si="1"/>
        <v>0</v>
      </c>
    </row>
    <row r="59" spans="1:9" ht="12.75">
      <c r="A59" s="3"/>
      <c r="B59" s="3"/>
      <c r="C59" s="5"/>
      <c r="D59" s="5"/>
      <c r="E59" s="5"/>
      <c r="F59" s="9">
        <v>0.6</v>
      </c>
      <c r="G59" s="8"/>
      <c r="H59" s="5">
        <f>G58*F59</f>
        <v>4458</v>
      </c>
      <c r="I59" s="14">
        <f t="shared" si="1"/>
        <v>0.03633251833740831</v>
      </c>
    </row>
    <row r="60" spans="1:9" ht="12.75">
      <c r="A60" s="3"/>
      <c r="B60" s="3"/>
      <c r="C60" s="5"/>
      <c r="D60" s="5"/>
      <c r="E60" s="5"/>
      <c r="F60" s="9">
        <v>0.4</v>
      </c>
      <c r="G60" s="8"/>
      <c r="H60" s="5">
        <f>G58*F60</f>
        <v>2972</v>
      </c>
      <c r="I60" s="14">
        <f t="shared" si="1"/>
        <v>0.024221678891605543</v>
      </c>
    </row>
    <row r="61" spans="1:9" ht="12.75">
      <c r="A61" s="3"/>
      <c r="B61" s="3"/>
      <c r="C61" s="5"/>
      <c r="D61" s="5"/>
      <c r="E61" s="5"/>
      <c r="F61" s="9"/>
      <c r="G61" s="8">
        <v>480</v>
      </c>
      <c r="H61" s="5"/>
      <c r="I61" s="14">
        <f t="shared" si="1"/>
        <v>0</v>
      </c>
    </row>
    <row r="62" spans="1:9" ht="12.75">
      <c r="A62" s="3"/>
      <c r="B62" s="3"/>
      <c r="C62" s="5"/>
      <c r="D62" s="5"/>
      <c r="E62" s="5"/>
      <c r="F62" s="9"/>
      <c r="G62" s="8"/>
      <c r="H62" s="5">
        <f>G61</f>
        <v>480</v>
      </c>
      <c r="I62" s="14">
        <f t="shared" si="1"/>
        <v>0.003911980440097799</v>
      </c>
    </row>
    <row r="63" spans="1:9" ht="12.75">
      <c r="A63" s="3"/>
      <c r="B63" s="3"/>
      <c r="C63" s="5"/>
      <c r="D63" s="5"/>
      <c r="E63" s="5"/>
      <c r="F63" s="9"/>
      <c r="G63" s="8">
        <v>3570</v>
      </c>
      <c r="H63" s="5"/>
      <c r="I63" s="14">
        <f t="shared" si="1"/>
        <v>0</v>
      </c>
    </row>
    <row r="64" spans="1:9" ht="12.75">
      <c r="A64" s="3"/>
      <c r="B64" s="3"/>
      <c r="C64" s="5"/>
      <c r="D64" s="5"/>
      <c r="E64" s="5"/>
      <c r="F64" s="9">
        <v>0.45</v>
      </c>
      <c r="G64" s="8"/>
      <c r="H64" s="5">
        <f>G$63*F64</f>
        <v>1606.5</v>
      </c>
      <c r="I64" s="14">
        <f t="shared" si="1"/>
        <v>0.013092909535452323</v>
      </c>
    </row>
    <row r="65" spans="1:9" ht="12.75">
      <c r="A65" s="3"/>
      <c r="B65" s="3"/>
      <c r="C65" s="5"/>
      <c r="D65" s="5"/>
      <c r="E65" s="5"/>
      <c r="F65" s="9">
        <v>0.35</v>
      </c>
      <c r="G65" s="8"/>
      <c r="H65" s="5">
        <f>G$63*F65</f>
        <v>1249.5</v>
      </c>
      <c r="I65" s="14">
        <f t="shared" si="1"/>
        <v>0.010183374083129585</v>
      </c>
    </row>
    <row r="66" spans="1:9" ht="12.75">
      <c r="A66" s="3"/>
      <c r="B66" s="3"/>
      <c r="C66" s="5"/>
      <c r="D66" s="5"/>
      <c r="E66" s="5"/>
      <c r="F66" s="10">
        <v>0.2</v>
      </c>
      <c r="G66" s="8"/>
      <c r="H66" s="5">
        <f>G$63*F66</f>
        <v>714</v>
      </c>
      <c r="I66" s="14">
        <f t="shared" si="1"/>
        <v>0.0058190709046454766</v>
      </c>
    </row>
    <row r="67" spans="1:9" ht="12.75">
      <c r="A67" s="3"/>
      <c r="B67" s="3"/>
      <c r="C67" s="5"/>
      <c r="D67" s="5"/>
      <c r="E67" s="5"/>
      <c r="F67" s="9"/>
      <c r="G67" s="8">
        <v>900</v>
      </c>
      <c r="H67" s="5"/>
      <c r="I67" s="14">
        <f t="shared" si="1"/>
        <v>0</v>
      </c>
    </row>
    <row r="68" spans="1:9" ht="12.75">
      <c r="A68" s="3"/>
      <c r="B68" s="3"/>
      <c r="C68" s="5"/>
      <c r="D68" s="5"/>
      <c r="E68" s="5"/>
      <c r="F68" s="9"/>
      <c r="G68" s="8"/>
      <c r="H68" s="5">
        <f>G67</f>
        <v>900</v>
      </c>
      <c r="I68" s="14">
        <f t="shared" si="1"/>
        <v>0.007334963325183374</v>
      </c>
    </row>
    <row r="69" spans="1:9" ht="12.75">
      <c r="A69" s="3"/>
      <c r="B69" s="3"/>
      <c r="C69" s="5"/>
      <c r="D69" s="5"/>
      <c r="E69" s="5"/>
      <c r="F69" s="9"/>
      <c r="G69" s="8">
        <v>10300</v>
      </c>
      <c r="H69" s="5"/>
      <c r="I69" s="14">
        <f t="shared" si="1"/>
        <v>0</v>
      </c>
    </row>
    <row r="70" spans="1:10" ht="12.75">
      <c r="A70" s="3"/>
      <c r="B70" s="3"/>
      <c r="C70" s="5"/>
      <c r="D70" s="5"/>
      <c r="E70" s="5"/>
      <c r="F70" s="9">
        <v>0.4</v>
      </c>
      <c r="G70" s="8"/>
      <c r="H70" s="5">
        <f>G69*F70</f>
        <v>4120</v>
      </c>
      <c r="I70" s="14">
        <f t="shared" si="1"/>
        <v>0.033577832110839444</v>
      </c>
      <c r="J70" s="7"/>
    </row>
    <row r="71" spans="1:10" ht="12.75">
      <c r="A71" s="3"/>
      <c r="B71" s="3"/>
      <c r="C71" s="5"/>
      <c r="D71" s="5"/>
      <c r="E71" s="5"/>
      <c r="F71" s="9">
        <v>0.6</v>
      </c>
      <c r="G71" s="8"/>
      <c r="H71" s="5">
        <f>G69*F71</f>
        <v>6180</v>
      </c>
      <c r="I71" s="14">
        <f>H71/H$1</f>
        <v>0.05036674816625917</v>
      </c>
      <c r="J71" s="7"/>
    </row>
    <row r="72" spans="1:10" ht="12.75">
      <c r="A72" s="3"/>
      <c r="C72" s="5"/>
      <c r="D72" s="5"/>
      <c r="E72" s="5"/>
      <c r="F72" s="9"/>
      <c r="G72" s="8">
        <v>2550</v>
      </c>
      <c r="H72" s="5"/>
      <c r="I72" s="14">
        <f>H72/H$1</f>
        <v>0</v>
      </c>
      <c r="J72" s="7"/>
    </row>
    <row r="73" spans="2:10" ht="12.75">
      <c r="B73" s="3"/>
      <c r="C73" s="5"/>
      <c r="D73" s="5"/>
      <c r="E73" s="5"/>
      <c r="F73" s="9">
        <v>0.4</v>
      </c>
      <c r="G73" s="8"/>
      <c r="H73" s="5">
        <f>G72*F73</f>
        <v>1020</v>
      </c>
      <c r="I73" s="14">
        <f>H73/H$1</f>
        <v>0.008312958435207823</v>
      </c>
      <c r="J73" s="7"/>
    </row>
    <row r="74" spans="2:10" ht="12.75">
      <c r="B74" s="3"/>
      <c r="C74" s="7"/>
      <c r="D74" s="7"/>
      <c r="E74" s="7"/>
      <c r="F74" s="11">
        <v>0.6</v>
      </c>
      <c r="G74" s="8"/>
      <c r="H74" s="7">
        <f>G72*F74</f>
        <v>1530</v>
      </c>
      <c r="I74" s="14">
        <f>H74/H$1</f>
        <v>0.012469437652811735</v>
      </c>
      <c r="J74" s="7"/>
    </row>
    <row r="75" spans="3:10" ht="12.75">
      <c r="C75" s="7"/>
      <c r="D75" s="7"/>
      <c r="E75" s="7"/>
      <c r="F75" s="11"/>
      <c r="G75" s="8"/>
      <c r="H75" s="7"/>
      <c r="I75" s="14"/>
      <c r="J75" s="7"/>
    </row>
    <row r="76" spans="1:10" ht="12.75">
      <c r="A76" s="71" t="s">
        <v>6</v>
      </c>
      <c r="B76" s="71"/>
      <c r="C76" s="7"/>
      <c r="D76" s="7"/>
      <c r="E76" s="7"/>
      <c r="F76" s="11"/>
      <c r="G76" s="8"/>
      <c r="H76" s="7"/>
      <c r="I76" s="14"/>
      <c r="J76" s="7"/>
    </row>
    <row r="77" spans="1:10" ht="12.75">
      <c r="A77" s="3"/>
      <c r="B77" s="4"/>
      <c r="C77" s="7"/>
      <c r="D77" s="7"/>
      <c r="E77" s="7"/>
      <c r="F77" s="11"/>
      <c r="G77" s="8">
        <v>7360</v>
      </c>
      <c r="H77" s="7"/>
      <c r="I77" s="14"/>
      <c r="J77" s="7"/>
    </row>
    <row r="78" spans="1:10" ht="12.75">
      <c r="A78" s="3"/>
      <c r="B78" s="3"/>
      <c r="C78" s="7"/>
      <c r="D78" s="7"/>
      <c r="E78" s="7"/>
      <c r="F78" s="11">
        <v>0.3</v>
      </c>
      <c r="G78" s="8"/>
      <c r="H78" s="7">
        <f>G77*F78</f>
        <v>2208</v>
      </c>
      <c r="I78" s="14">
        <f>H78/H$2</f>
        <v>0.013608880287462943</v>
      </c>
      <c r="J78" s="7"/>
    </row>
    <row r="79" spans="1:10" ht="12.75">
      <c r="A79" s="3"/>
      <c r="B79" s="3"/>
      <c r="C79" s="7"/>
      <c r="D79" s="7"/>
      <c r="E79" s="7"/>
      <c r="F79" s="11">
        <v>0.7</v>
      </c>
      <c r="G79" s="8"/>
      <c r="H79" s="7">
        <f>G77*F79</f>
        <v>5152</v>
      </c>
      <c r="I79" s="14">
        <f aca="true" t="shared" si="4" ref="I79:I136">H79/H$2</f>
        <v>0.0317540540040802</v>
      </c>
      <c r="J79" s="7"/>
    </row>
    <row r="80" spans="1:10" ht="12.75">
      <c r="A80" s="3"/>
      <c r="B80" s="3"/>
      <c r="C80" s="7"/>
      <c r="D80" s="7"/>
      <c r="E80" s="7"/>
      <c r="F80" s="11"/>
      <c r="G80" s="8">
        <v>26090</v>
      </c>
      <c r="H80" s="7"/>
      <c r="I80" s="14">
        <f t="shared" si="4"/>
        <v>0</v>
      </c>
      <c r="J80" s="7"/>
    </row>
    <row r="81" spans="1:10" ht="12.75">
      <c r="A81" s="3"/>
      <c r="B81" s="3"/>
      <c r="C81" s="7"/>
      <c r="D81" s="7"/>
      <c r="E81" s="7"/>
      <c r="F81" s="11">
        <v>0.3</v>
      </c>
      <c r="G81" s="8"/>
      <c r="H81" s="7">
        <f>G$80*F81</f>
        <v>7827</v>
      </c>
      <c r="I81" s="14">
        <f t="shared" si="4"/>
        <v>0.04824126177987883</v>
      </c>
      <c r="J81" s="7"/>
    </row>
    <row r="82" spans="1:10" ht="12.75">
      <c r="A82" s="3"/>
      <c r="B82" s="3"/>
      <c r="C82" s="7"/>
      <c r="D82" s="7"/>
      <c r="E82" s="7"/>
      <c r="F82" s="11">
        <v>0.25</v>
      </c>
      <c r="G82" s="8"/>
      <c r="H82" s="7">
        <f>G$80*F82</f>
        <v>6522.5</v>
      </c>
      <c r="I82" s="14">
        <f t="shared" si="4"/>
        <v>0.04020105148323236</v>
      </c>
      <c r="J82" s="7"/>
    </row>
    <row r="83" spans="1:10" ht="12.75">
      <c r="A83" s="3"/>
      <c r="B83" s="3"/>
      <c r="C83" s="7"/>
      <c r="D83" s="7"/>
      <c r="E83" s="7"/>
      <c r="F83" s="11">
        <v>0.25</v>
      </c>
      <c r="G83" s="8"/>
      <c r="H83" s="7">
        <f>G$80*F83</f>
        <v>6522.5</v>
      </c>
      <c r="I83" s="14">
        <f t="shared" si="4"/>
        <v>0.04020105148323236</v>
      </c>
      <c r="J83" s="7"/>
    </row>
    <row r="84" spans="1:10" ht="12.75">
      <c r="A84" s="3"/>
      <c r="B84" s="3"/>
      <c r="C84" s="7"/>
      <c r="D84" s="7"/>
      <c r="E84" s="7"/>
      <c r="F84" s="11">
        <v>0.1</v>
      </c>
      <c r="G84" s="8"/>
      <c r="H84" s="7">
        <f>G$80*F84</f>
        <v>2609</v>
      </c>
      <c r="I84" s="14">
        <f t="shared" si="4"/>
        <v>0.01608042059329294</v>
      </c>
      <c r="J84" s="7"/>
    </row>
    <row r="85" spans="1:10" ht="12.75">
      <c r="A85" s="3"/>
      <c r="B85" s="3"/>
      <c r="C85" s="7"/>
      <c r="D85" s="7"/>
      <c r="E85" s="7"/>
      <c r="F85" s="11">
        <v>0.1</v>
      </c>
      <c r="G85" s="8"/>
      <c r="H85" s="7">
        <f>G$80*F85</f>
        <v>2609</v>
      </c>
      <c r="I85" s="14">
        <f t="shared" si="4"/>
        <v>0.01608042059329294</v>
      </c>
      <c r="J85" s="7"/>
    </row>
    <row r="86" spans="1:10" ht="12.75">
      <c r="A86" s="3"/>
      <c r="B86" s="3"/>
      <c r="C86" s="7"/>
      <c r="D86" s="7"/>
      <c r="E86" s="7"/>
      <c r="F86" s="11"/>
      <c r="G86" s="8">
        <v>53780</v>
      </c>
      <c r="H86" s="7"/>
      <c r="I86" s="14">
        <f t="shared" si="4"/>
        <v>0</v>
      </c>
      <c r="J86" s="7"/>
    </row>
    <row r="87" spans="1:10" ht="12.75">
      <c r="A87" s="3"/>
      <c r="B87" s="3"/>
      <c r="C87" s="7"/>
      <c r="D87" s="7"/>
      <c r="E87" s="7"/>
      <c r="F87" s="11">
        <v>0.05</v>
      </c>
      <c r="G87" s="8"/>
      <c r="H87" s="7">
        <f>G$86*F87</f>
        <v>2689</v>
      </c>
      <c r="I87" s="14">
        <f t="shared" si="4"/>
        <v>0.016573495966027106</v>
      </c>
      <c r="J87" s="7"/>
    </row>
    <row r="88" spans="1:10" ht="12.75">
      <c r="A88" s="3"/>
      <c r="B88" s="3"/>
      <c r="C88" s="7"/>
      <c r="D88" s="7"/>
      <c r="E88" s="7"/>
      <c r="F88" s="11">
        <v>0.05</v>
      </c>
      <c r="G88" s="8"/>
      <c r="H88" s="7">
        <f aca="true" t="shared" si="5" ref="H88:H95">G$86*F88</f>
        <v>2689</v>
      </c>
      <c r="I88" s="14">
        <f t="shared" si="4"/>
        <v>0.016573495966027106</v>
      </c>
      <c r="J88" s="7"/>
    </row>
    <row r="89" spans="1:10" ht="12.75">
      <c r="A89" s="3"/>
      <c r="B89" s="3"/>
      <c r="C89" s="7"/>
      <c r="D89" s="7"/>
      <c r="E89" s="7"/>
      <c r="F89" s="11">
        <v>0.1</v>
      </c>
      <c r="G89" s="8"/>
      <c r="H89" s="7">
        <f t="shared" si="5"/>
        <v>5378</v>
      </c>
      <c r="I89" s="14">
        <f t="shared" si="4"/>
        <v>0.03314699193205421</v>
      </c>
      <c r="J89" s="7"/>
    </row>
    <row r="90" spans="1:10" ht="12.75">
      <c r="A90" s="3"/>
      <c r="B90" s="3"/>
      <c r="C90" s="7"/>
      <c r="D90" s="7"/>
      <c r="E90" s="7"/>
      <c r="F90" s="11">
        <v>0.1</v>
      </c>
      <c r="G90" s="8"/>
      <c r="H90" s="7">
        <f t="shared" si="5"/>
        <v>5378</v>
      </c>
      <c r="I90" s="14">
        <f t="shared" si="4"/>
        <v>0.03314699193205421</v>
      </c>
      <c r="J90" s="7"/>
    </row>
    <row r="91" spans="1:10" ht="12.75">
      <c r="A91" s="3"/>
      <c r="B91" s="3"/>
      <c r="C91" s="7"/>
      <c r="D91" s="7"/>
      <c r="E91" s="7"/>
      <c r="F91" s="11">
        <v>0.2</v>
      </c>
      <c r="G91" s="8"/>
      <c r="H91" s="7">
        <f t="shared" si="5"/>
        <v>10756</v>
      </c>
      <c r="I91" s="14">
        <f t="shared" si="4"/>
        <v>0.06629398386410842</v>
      </c>
      <c r="J91" s="7"/>
    </row>
    <row r="92" spans="1:10" ht="12.75">
      <c r="A92" s="3"/>
      <c r="B92" s="3"/>
      <c r="C92" s="7"/>
      <c r="D92" s="7"/>
      <c r="E92" s="7"/>
      <c r="F92" s="11">
        <v>0.15</v>
      </c>
      <c r="G92" s="8"/>
      <c r="H92" s="7">
        <f t="shared" si="5"/>
        <v>8067</v>
      </c>
      <c r="I92" s="14">
        <f t="shared" si="4"/>
        <v>0.04972048789808132</v>
      </c>
      <c r="J92" s="7"/>
    </row>
    <row r="93" spans="1:10" ht="12.75">
      <c r="A93" s="3"/>
      <c r="B93" s="3"/>
      <c r="C93" s="7"/>
      <c r="D93" s="7"/>
      <c r="E93" s="7"/>
      <c r="F93" s="11">
        <v>0.1</v>
      </c>
      <c r="G93" s="8"/>
      <c r="H93" s="7">
        <f t="shared" si="5"/>
        <v>5378</v>
      </c>
      <c r="I93" s="14">
        <f t="shared" si="4"/>
        <v>0.03314699193205421</v>
      </c>
      <c r="J93" s="7"/>
    </row>
    <row r="94" spans="1:10" ht="12.75">
      <c r="A94" s="3"/>
      <c r="B94" s="3"/>
      <c r="C94" s="7"/>
      <c r="D94" s="7"/>
      <c r="E94" s="7"/>
      <c r="F94" s="11">
        <v>0.1</v>
      </c>
      <c r="G94" s="8"/>
      <c r="H94" s="7">
        <f t="shared" si="5"/>
        <v>5378</v>
      </c>
      <c r="I94" s="14">
        <f t="shared" si="4"/>
        <v>0.03314699193205421</v>
      </c>
      <c r="J94" s="7"/>
    </row>
    <row r="95" spans="1:10" ht="12.75">
      <c r="A95" s="3"/>
      <c r="B95" s="3"/>
      <c r="C95" s="7"/>
      <c r="D95" s="7"/>
      <c r="E95" s="7"/>
      <c r="F95" s="11">
        <v>0.15</v>
      </c>
      <c r="G95" s="8"/>
      <c r="H95" s="7">
        <f t="shared" si="5"/>
        <v>8067</v>
      </c>
      <c r="I95" s="14">
        <f t="shared" si="4"/>
        <v>0.04972048789808132</v>
      </c>
      <c r="J95" s="7"/>
    </row>
    <row r="96" spans="1:10" ht="12.75">
      <c r="A96" s="3"/>
      <c r="B96" s="3"/>
      <c r="C96" s="7"/>
      <c r="D96" s="7"/>
      <c r="E96" s="7"/>
      <c r="F96" s="11"/>
      <c r="G96" s="8">
        <v>1170</v>
      </c>
      <c r="H96" s="7"/>
      <c r="I96" s="14">
        <f t="shared" si="4"/>
        <v>0</v>
      </c>
      <c r="J96" s="7"/>
    </row>
    <row r="97" spans="1:10" ht="12.75">
      <c r="A97" s="3"/>
      <c r="B97" s="3"/>
      <c r="C97" s="7"/>
      <c r="D97" s="7"/>
      <c r="E97" s="7"/>
      <c r="F97" s="11">
        <v>0.7</v>
      </c>
      <c r="G97" s="8"/>
      <c r="H97" s="7">
        <f>G96*F97</f>
        <v>819</v>
      </c>
      <c r="I97" s="14">
        <f t="shared" si="4"/>
        <v>0.00504785912836601</v>
      </c>
      <c r="J97" s="7"/>
    </row>
    <row r="98" spans="1:10" ht="12.75">
      <c r="A98" s="3"/>
      <c r="B98" s="3"/>
      <c r="C98" s="7"/>
      <c r="D98" s="7"/>
      <c r="E98" s="7"/>
      <c r="F98" s="11">
        <v>0.3</v>
      </c>
      <c r="G98" s="8"/>
      <c r="H98" s="7">
        <f>G96*F98</f>
        <v>351</v>
      </c>
      <c r="I98" s="14">
        <f t="shared" si="4"/>
        <v>0.002163368197871147</v>
      </c>
      <c r="J98" s="7"/>
    </row>
    <row r="99" spans="1:10" ht="12.75">
      <c r="A99" s="3"/>
      <c r="B99" s="3"/>
      <c r="C99" s="7"/>
      <c r="D99" s="7"/>
      <c r="E99" s="7"/>
      <c r="F99" s="11"/>
      <c r="G99" s="8">
        <v>480</v>
      </c>
      <c r="H99" s="7"/>
      <c r="I99" s="14">
        <f t="shared" si="4"/>
        <v>0</v>
      </c>
      <c r="J99" s="7"/>
    </row>
    <row r="100" spans="1:10" ht="12.75">
      <c r="A100" s="3"/>
      <c r="B100" s="3"/>
      <c r="C100" s="7"/>
      <c r="D100" s="7"/>
      <c r="E100" s="7"/>
      <c r="F100" s="11"/>
      <c r="G100" s="8"/>
      <c r="H100" s="7">
        <f>G99</f>
        <v>480</v>
      </c>
      <c r="I100" s="14">
        <f t="shared" si="4"/>
        <v>0.0029584522364049875</v>
      </c>
      <c r="J100" s="7"/>
    </row>
    <row r="101" spans="1:10" ht="12.75">
      <c r="A101" s="3"/>
      <c r="B101" s="3"/>
      <c r="C101" s="7"/>
      <c r="D101" s="7"/>
      <c r="E101" s="7"/>
      <c r="F101" s="11"/>
      <c r="G101" s="8">
        <v>1980</v>
      </c>
      <c r="H101" s="7"/>
      <c r="I101" s="14">
        <f t="shared" si="4"/>
        <v>0</v>
      </c>
      <c r="J101" s="7"/>
    </row>
    <row r="102" spans="1:10" ht="12.75">
      <c r="A102" s="3"/>
      <c r="B102" s="3"/>
      <c r="C102" s="7"/>
      <c r="D102" s="7"/>
      <c r="E102" s="7"/>
      <c r="F102" s="11"/>
      <c r="G102" s="8"/>
      <c r="H102" s="7">
        <f>G101</f>
        <v>1980</v>
      </c>
      <c r="I102" s="14">
        <f t="shared" si="4"/>
        <v>0.012203615475170574</v>
      </c>
      <c r="J102" s="7"/>
    </row>
    <row r="103" spans="1:10" ht="12.75">
      <c r="A103" s="3"/>
      <c r="C103" s="7"/>
      <c r="D103" s="7"/>
      <c r="E103" s="7"/>
      <c r="F103" s="11"/>
      <c r="G103" s="8">
        <v>280</v>
      </c>
      <c r="H103" s="7"/>
      <c r="I103" s="14">
        <f t="shared" si="4"/>
        <v>0</v>
      </c>
      <c r="J103" s="7"/>
    </row>
    <row r="104" spans="1:10" ht="12.75">
      <c r="A104" s="3"/>
      <c r="B104" s="3"/>
      <c r="F104" s="11"/>
      <c r="G104" s="8"/>
      <c r="H104" s="8">
        <f>G103</f>
        <v>280</v>
      </c>
      <c r="I104" s="14">
        <f t="shared" si="4"/>
        <v>0.001725763804569576</v>
      </c>
      <c r="J104" s="7"/>
    </row>
    <row r="105" spans="1:10" ht="12.75">
      <c r="A105" s="3"/>
      <c r="B105" s="3"/>
      <c r="F105" s="11"/>
      <c r="G105" s="8">
        <v>50500</v>
      </c>
      <c r="I105" s="14">
        <f t="shared" si="4"/>
        <v>0</v>
      </c>
      <c r="J105" s="7"/>
    </row>
    <row r="106" spans="1:10" ht="12.75">
      <c r="A106" s="3"/>
      <c r="B106" s="3"/>
      <c r="F106" s="11">
        <v>0.15</v>
      </c>
      <c r="G106" s="8"/>
      <c r="H106" s="8">
        <f>G$105*F106</f>
        <v>7575</v>
      </c>
      <c r="I106" s="14">
        <f t="shared" si="4"/>
        <v>0.04668807435576621</v>
      </c>
      <c r="J106" s="7"/>
    </row>
    <row r="107" spans="1:10" ht="12.75">
      <c r="A107" s="3"/>
      <c r="B107" s="3"/>
      <c r="F107" s="11">
        <v>0.1</v>
      </c>
      <c r="G107" s="8"/>
      <c r="H107" s="8">
        <f aca="true" t="shared" si="6" ref="H107:H114">G$105*F107</f>
        <v>5050</v>
      </c>
      <c r="I107" s="14">
        <f t="shared" si="4"/>
        <v>0.03112538290384414</v>
      </c>
      <c r="J107" s="7"/>
    </row>
    <row r="108" spans="1:10" ht="12.75">
      <c r="A108" s="3"/>
      <c r="B108" s="3"/>
      <c r="F108" s="11">
        <v>0.05</v>
      </c>
      <c r="G108" s="8"/>
      <c r="H108" s="8">
        <f t="shared" si="6"/>
        <v>2525</v>
      </c>
      <c r="I108" s="14">
        <f t="shared" si="4"/>
        <v>0.01556269145192207</v>
      </c>
      <c r="J108" s="7"/>
    </row>
    <row r="109" spans="1:10" ht="12.75">
      <c r="A109" s="3"/>
      <c r="B109" s="3"/>
      <c r="F109" s="11">
        <v>0.05</v>
      </c>
      <c r="G109" s="8"/>
      <c r="H109" s="8">
        <f t="shared" si="6"/>
        <v>2525</v>
      </c>
      <c r="I109" s="14">
        <f t="shared" si="4"/>
        <v>0.01556269145192207</v>
      </c>
      <c r="J109" s="7"/>
    </row>
    <row r="110" spans="1:10" ht="12.75">
      <c r="A110" s="3"/>
      <c r="B110" s="3"/>
      <c r="F110" s="11">
        <v>0.25</v>
      </c>
      <c r="G110" s="8"/>
      <c r="H110" s="8">
        <f t="shared" si="6"/>
        <v>12625</v>
      </c>
      <c r="I110" s="14">
        <f t="shared" si="4"/>
        <v>0.07781345725961035</v>
      </c>
      <c r="J110" s="7"/>
    </row>
    <row r="111" spans="1:10" ht="12.75">
      <c r="A111" s="3"/>
      <c r="B111" s="3"/>
      <c r="F111" s="11">
        <v>0.2</v>
      </c>
      <c r="G111" s="8"/>
      <c r="H111" s="8">
        <f t="shared" si="6"/>
        <v>10100</v>
      </c>
      <c r="I111" s="14">
        <f t="shared" si="4"/>
        <v>0.06225076580768828</v>
      </c>
      <c r="J111" s="7"/>
    </row>
    <row r="112" spans="1:10" ht="12.75">
      <c r="A112" s="3"/>
      <c r="B112" s="3"/>
      <c r="F112" s="11">
        <v>0.05</v>
      </c>
      <c r="G112" s="8"/>
      <c r="H112" s="8">
        <f t="shared" si="6"/>
        <v>2525</v>
      </c>
      <c r="I112" s="14">
        <f t="shared" si="4"/>
        <v>0.01556269145192207</v>
      </c>
      <c r="J112" s="7"/>
    </row>
    <row r="113" spans="1:10" ht="12.75">
      <c r="A113" s="3"/>
      <c r="B113" s="3"/>
      <c r="F113" s="11">
        <v>0.1</v>
      </c>
      <c r="G113" s="8"/>
      <c r="H113" s="8">
        <f t="shared" si="6"/>
        <v>5050</v>
      </c>
      <c r="I113" s="14">
        <f t="shared" si="4"/>
        <v>0.03112538290384414</v>
      </c>
      <c r="J113" s="7"/>
    </row>
    <row r="114" spans="1:10" ht="12.75">
      <c r="A114" s="3"/>
      <c r="B114" s="3"/>
      <c r="F114" s="11">
        <v>0.05</v>
      </c>
      <c r="G114" s="8"/>
      <c r="H114" s="8">
        <f t="shared" si="6"/>
        <v>2525</v>
      </c>
      <c r="I114" s="14">
        <f t="shared" si="4"/>
        <v>0.01556269145192207</v>
      </c>
      <c r="J114" s="7"/>
    </row>
    <row r="115" spans="1:10" ht="12.75">
      <c r="A115" s="3"/>
      <c r="B115" s="3"/>
      <c r="F115" s="11"/>
      <c r="G115" s="8">
        <v>9760</v>
      </c>
      <c r="H115" s="8"/>
      <c r="I115" s="14">
        <f t="shared" si="4"/>
        <v>0</v>
      </c>
      <c r="J115" s="7"/>
    </row>
    <row r="116" spans="2:10" ht="12.75">
      <c r="B116" s="3"/>
      <c r="F116" s="11">
        <v>0.2</v>
      </c>
      <c r="G116" s="8"/>
      <c r="H116" s="8">
        <f>G$115*F116</f>
        <v>1952</v>
      </c>
      <c r="I116" s="14">
        <f t="shared" si="4"/>
        <v>0.012031039094713616</v>
      </c>
      <c r="J116" s="7"/>
    </row>
    <row r="117" spans="2:10" ht="12.75">
      <c r="B117" s="3"/>
      <c r="F117" s="11">
        <v>0.2</v>
      </c>
      <c r="G117" s="8"/>
      <c r="H117" s="8">
        <f>G$115*F117</f>
        <v>1952</v>
      </c>
      <c r="I117" s="14">
        <f t="shared" si="4"/>
        <v>0.012031039094713616</v>
      </c>
      <c r="J117" s="7"/>
    </row>
    <row r="118" spans="2:10" ht="12.75">
      <c r="B118" s="3"/>
      <c r="F118" s="11">
        <v>0.2</v>
      </c>
      <c r="G118" s="8"/>
      <c r="H118" s="8">
        <f>G$115*F118</f>
        <v>1952</v>
      </c>
      <c r="I118" s="14">
        <f t="shared" si="4"/>
        <v>0.012031039094713616</v>
      </c>
      <c r="J118" s="7"/>
    </row>
    <row r="119" spans="2:10" ht="12.75">
      <c r="B119" s="3"/>
      <c r="F119" s="11">
        <v>0.2</v>
      </c>
      <c r="G119" s="8"/>
      <c r="H119" s="8">
        <f>G$115*F119</f>
        <v>1952</v>
      </c>
      <c r="I119" s="14">
        <f t="shared" si="4"/>
        <v>0.012031039094713616</v>
      </c>
      <c r="J119" s="7"/>
    </row>
    <row r="120" spans="2:10" ht="12.75">
      <c r="B120" s="3"/>
      <c r="F120" s="11">
        <v>0.2</v>
      </c>
      <c r="G120" s="8"/>
      <c r="H120" s="8">
        <f>G$115*F120</f>
        <v>1952</v>
      </c>
      <c r="I120" s="14">
        <f t="shared" si="4"/>
        <v>0.012031039094713616</v>
      </c>
      <c r="J120" s="7"/>
    </row>
    <row r="121" spans="1:10" ht="12.75">
      <c r="A121" s="3"/>
      <c r="B121" s="3"/>
      <c r="F121" s="11"/>
      <c r="G121" s="8">
        <v>1700</v>
      </c>
      <c r="H121" s="8"/>
      <c r="I121" s="14">
        <f t="shared" si="4"/>
        <v>0</v>
      </c>
      <c r="J121" s="7"/>
    </row>
    <row r="122" spans="1:10" ht="12.75">
      <c r="A122" s="3"/>
      <c r="B122" s="3"/>
      <c r="F122" s="11"/>
      <c r="G122" s="8"/>
      <c r="H122" s="8">
        <f>G121</f>
        <v>1700</v>
      </c>
      <c r="I122" s="14">
        <f t="shared" si="4"/>
        <v>0.010477851670600996</v>
      </c>
      <c r="J122" s="7"/>
    </row>
    <row r="123" spans="1:10" ht="12.75">
      <c r="A123" s="3"/>
      <c r="F123" s="11"/>
      <c r="G123" s="8">
        <v>2197</v>
      </c>
      <c r="H123" s="8"/>
      <c r="I123" s="14">
        <f t="shared" si="4"/>
        <v>0</v>
      </c>
      <c r="J123" s="7"/>
    </row>
    <row r="124" spans="1:10" ht="12.75">
      <c r="A124" s="3"/>
      <c r="B124" s="3"/>
      <c r="F124" s="11"/>
      <c r="G124" s="8"/>
      <c r="H124" s="8">
        <f>G123</f>
        <v>2197</v>
      </c>
      <c r="I124" s="14">
        <f t="shared" si="4"/>
        <v>0.013541082423711995</v>
      </c>
      <c r="J124" s="7"/>
    </row>
    <row r="125" spans="1:10" ht="12.75">
      <c r="A125" s="3"/>
      <c r="B125" s="3"/>
      <c r="F125" s="11"/>
      <c r="G125" s="8">
        <v>5130</v>
      </c>
      <c r="H125" s="8"/>
      <c r="I125" s="14">
        <f t="shared" si="4"/>
        <v>0</v>
      </c>
      <c r="J125" s="7"/>
    </row>
    <row r="126" spans="1:10" ht="12.75">
      <c r="A126" s="3"/>
      <c r="B126" s="3"/>
      <c r="F126" s="11">
        <v>0.2</v>
      </c>
      <c r="G126" s="8"/>
      <c r="H126" s="8">
        <f>G$125*F126</f>
        <v>1026</v>
      </c>
      <c r="I126" s="14">
        <f t="shared" si="4"/>
        <v>0.0063236916553156605</v>
      </c>
      <c r="J126" s="7"/>
    </row>
    <row r="127" spans="1:10" ht="12.75">
      <c r="A127" s="3"/>
      <c r="B127" s="3"/>
      <c r="F127" s="11">
        <v>0.05</v>
      </c>
      <c r="G127" s="8"/>
      <c r="H127" s="8">
        <f aca="true" t="shared" si="7" ref="H127:H132">G$125*F127</f>
        <v>256.5</v>
      </c>
      <c r="I127" s="14">
        <f t="shared" si="4"/>
        <v>0.0015809229138289151</v>
      </c>
      <c r="J127" s="7"/>
    </row>
    <row r="128" spans="1:10" ht="12.75">
      <c r="A128" s="3"/>
      <c r="B128" s="3"/>
      <c r="F128" s="11">
        <v>0.1</v>
      </c>
      <c r="G128" s="8"/>
      <c r="H128" s="8">
        <f t="shared" si="7"/>
        <v>513</v>
      </c>
      <c r="I128" s="14">
        <f t="shared" si="4"/>
        <v>0.0031618458276578302</v>
      </c>
      <c r="J128" s="7"/>
    </row>
    <row r="129" spans="1:10" ht="12.75">
      <c r="A129" s="3"/>
      <c r="B129" s="3"/>
      <c r="F129" s="11">
        <v>0.05</v>
      </c>
      <c r="G129" s="8"/>
      <c r="H129" s="8">
        <f t="shared" si="7"/>
        <v>256.5</v>
      </c>
      <c r="I129" s="14">
        <f t="shared" si="4"/>
        <v>0.0015809229138289151</v>
      </c>
      <c r="J129" s="7"/>
    </row>
    <row r="130" spans="1:10" ht="12.75">
      <c r="A130" s="3"/>
      <c r="B130" s="3"/>
      <c r="F130" s="11">
        <v>0.2</v>
      </c>
      <c r="G130" s="8"/>
      <c r="H130" s="8">
        <f t="shared" si="7"/>
        <v>1026</v>
      </c>
      <c r="I130" s="14">
        <f t="shared" si="4"/>
        <v>0.0063236916553156605</v>
      </c>
      <c r="J130" s="7"/>
    </row>
    <row r="131" spans="1:10" ht="12.75">
      <c r="A131" s="3"/>
      <c r="B131" s="3"/>
      <c r="F131" s="11">
        <v>0.2</v>
      </c>
      <c r="G131" s="8"/>
      <c r="H131" s="8">
        <f t="shared" si="7"/>
        <v>1026</v>
      </c>
      <c r="I131" s="14">
        <f t="shared" si="4"/>
        <v>0.0063236916553156605</v>
      </c>
      <c r="J131" s="7"/>
    </row>
    <row r="132" spans="1:10" ht="12.75">
      <c r="A132" s="3"/>
      <c r="B132" s="3"/>
      <c r="F132" s="11">
        <v>0.2</v>
      </c>
      <c r="G132" s="8"/>
      <c r="H132" s="8">
        <f t="shared" si="7"/>
        <v>1026</v>
      </c>
      <c r="I132" s="14">
        <f t="shared" si="4"/>
        <v>0.0063236916553156605</v>
      </c>
      <c r="J132" s="7"/>
    </row>
    <row r="133" spans="1:10" ht="12.75">
      <c r="A133" s="3"/>
      <c r="B133" s="3"/>
      <c r="F133" s="11"/>
      <c r="G133" s="8">
        <v>1820</v>
      </c>
      <c r="H133" s="8"/>
      <c r="I133" s="14">
        <f t="shared" si="4"/>
        <v>0</v>
      </c>
      <c r="J133" s="7"/>
    </row>
    <row r="134" spans="1:10" ht="12.75">
      <c r="A134" s="3"/>
      <c r="B134" s="3"/>
      <c r="F134" s="11">
        <v>0.25</v>
      </c>
      <c r="H134" s="8">
        <f>G$133*F134</f>
        <v>455</v>
      </c>
      <c r="I134" s="14">
        <f t="shared" si="4"/>
        <v>0.002804366182425561</v>
      </c>
      <c r="J134" s="7"/>
    </row>
    <row r="135" spans="1:10" ht="12.75">
      <c r="A135" s="3"/>
      <c r="B135" s="3"/>
      <c r="F135" s="11">
        <v>0.5</v>
      </c>
      <c r="H135" s="8">
        <f>G$133*F135</f>
        <v>910</v>
      </c>
      <c r="I135" s="14">
        <f t="shared" si="4"/>
        <v>0.005608732364851122</v>
      </c>
      <c r="J135" s="7"/>
    </row>
    <row r="136" spans="1:10" ht="12.75">
      <c r="A136" s="3"/>
      <c r="B136" s="3"/>
      <c r="F136" s="11">
        <v>0.25</v>
      </c>
      <c r="H136" s="8">
        <f>G$133*F136</f>
        <v>455</v>
      </c>
      <c r="I136" s="14">
        <f t="shared" si="4"/>
        <v>0.002804366182425561</v>
      </c>
      <c r="J136" s="7"/>
    </row>
    <row r="137" spans="1:10" ht="12.75">
      <c r="A137" s="3"/>
      <c r="B137" s="3"/>
      <c r="I137" s="15"/>
      <c r="J137" s="7"/>
    </row>
    <row r="138" spans="1:2" ht="12.75">
      <c r="A138" s="3"/>
      <c r="B138" s="3"/>
    </row>
    <row r="139" spans="1:2" ht="12.75">
      <c r="A139" s="3"/>
      <c r="B139" s="3"/>
    </row>
    <row r="140" spans="1:2" ht="12.75">
      <c r="A140" s="3"/>
      <c r="B140" s="3"/>
    </row>
    <row r="141" spans="1:2" ht="12.75">
      <c r="A141" s="3"/>
      <c r="B141" s="3"/>
    </row>
    <row r="142" spans="1:2" ht="12.75">
      <c r="A142" s="3"/>
      <c r="B142" s="3"/>
    </row>
    <row r="143" spans="1:2" ht="12.75">
      <c r="A143" s="3"/>
      <c r="B143" s="3"/>
    </row>
    <row r="144" spans="1:2" ht="12.75">
      <c r="A144" s="3"/>
      <c r="B144" s="3"/>
    </row>
    <row r="145" spans="1:2" ht="12.75">
      <c r="A145" s="3"/>
      <c r="B145" s="3"/>
    </row>
    <row r="146" spans="1:2" ht="12.75">
      <c r="A146" s="3"/>
      <c r="B146" s="3"/>
    </row>
    <row r="147" spans="1:2" ht="12.75">
      <c r="A147" s="3"/>
      <c r="B147" s="3"/>
    </row>
    <row r="148" spans="1:2" ht="12.75">
      <c r="A148" s="3"/>
      <c r="B148" s="3"/>
    </row>
    <row r="149" spans="1:2" ht="12.75">
      <c r="A149" s="3"/>
      <c r="B149" s="3"/>
    </row>
    <row r="150" spans="1:2" ht="12.75">
      <c r="A150" s="3"/>
      <c r="B150" s="3"/>
    </row>
    <row r="151" spans="1:2" ht="12.75">
      <c r="A151" s="3"/>
      <c r="B151" s="3"/>
    </row>
  </sheetData>
  <mergeCells count="2">
    <mergeCell ref="A4:B4"/>
    <mergeCell ref="A76:B76"/>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C32"/>
  <sheetViews>
    <sheetView workbookViewId="0" topLeftCell="A1">
      <selection activeCell="C13" sqref="C13"/>
    </sheetView>
  </sheetViews>
  <sheetFormatPr defaultColWidth="9.140625" defaultRowHeight="12.75"/>
  <cols>
    <col min="1" max="1" width="33.57421875" style="0" customWidth="1"/>
  </cols>
  <sheetData>
    <row r="1" ht="18">
      <c r="A1" s="64" t="s">
        <v>105</v>
      </c>
    </row>
    <row r="2" ht="12.75">
      <c r="A2" s="3"/>
    </row>
    <row r="3" spans="1:3" ht="18">
      <c r="A3" s="62" t="s">
        <v>99</v>
      </c>
      <c r="B3" s="63"/>
      <c r="C3" s="63"/>
    </row>
    <row r="4" ht="12.75">
      <c r="A4" s="3"/>
    </row>
    <row r="5" ht="12" customHeight="1">
      <c r="A5" s="3" t="s">
        <v>98</v>
      </c>
    </row>
    <row r="6" ht="12.75">
      <c r="A6" s="3" t="s">
        <v>72</v>
      </c>
    </row>
    <row r="7" ht="12.75">
      <c r="A7" s="3" t="s">
        <v>73</v>
      </c>
    </row>
    <row r="8" ht="12.75">
      <c r="A8" s="3" t="s">
        <v>74</v>
      </c>
    </row>
    <row r="9" ht="12.75">
      <c r="A9" s="3" t="s">
        <v>75</v>
      </c>
    </row>
    <row r="10" ht="12.75">
      <c r="A10" s="3" t="s">
        <v>106</v>
      </c>
    </row>
    <row r="11" ht="12.75">
      <c r="A11" s="3" t="s">
        <v>107</v>
      </c>
    </row>
    <row r="12" ht="12.75">
      <c r="A12" s="3" t="s">
        <v>110</v>
      </c>
    </row>
    <row r="13" ht="12.75">
      <c r="A13" s="3" t="s">
        <v>111</v>
      </c>
    </row>
    <row r="14" ht="12.75">
      <c r="A14" s="3" t="s">
        <v>112</v>
      </c>
    </row>
    <row r="15" ht="12.75">
      <c r="A15" s="3" t="s">
        <v>113</v>
      </c>
    </row>
    <row r="16" ht="12.75">
      <c r="A16" s="3"/>
    </row>
    <row r="17" ht="12.75">
      <c r="A17" s="3"/>
    </row>
    <row r="18" ht="12.75">
      <c r="A18" s="3" t="s">
        <v>101</v>
      </c>
    </row>
    <row r="19" ht="12.75">
      <c r="A19" s="3" t="s">
        <v>103</v>
      </c>
    </row>
    <row r="20" ht="12.75">
      <c r="A20" s="3" t="s">
        <v>104</v>
      </c>
    </row>
    <row r="21" ht="12.75">
      <c r="A21" s="3" t="s">
        <v>102</v>
      </c>
    </row>
    <row r="22" ht="12.75">
      <c r="A22" s="3" t="s">
        <v>76</v>
      </c>
    </row>
    <row r="23" ht="12.75">
      <c r="A23" s="3" t="s">
        <v>109</v>
      </c>
    </row>
    <row r="24" ht="12.75">
      <c r="A24" s="3" t="s">
        <v>77</v>
      </c>
    </row>
    <row r="25" ht="12.75">
      <c r="A25" s="3" t="s">
        <v>78</v>
      </c>
    </row>
    <row r="26" ht="12.75">
      <c r="A26" s="3" t="s">
        <v>100</v>
      </c>
    </row>
    <row r="27" ht="12.75">
      <c r="A27" s="3"/>
    </row>
    <row r="28" ht="12.75">
      <c r="A28" s="3" t="s">
        <v>108</v>
      </c>
    </row>
    <row r="29" ht="12.75">
      <c r="A29" s="3" t="s">
        <v>115</v>
      </c>
    </row>
    <row r="30" ht="12.75">
      <c r="A30" s="3" t="s">
        <v>116</v>
      </c>
    </row>
    <row r="31" ht="12.75">
      <c r="A31" s="3" t="s">
        <v>117</v>
      </c>
    </row>
    <row r="32" ht="12.75">
      <c r="A32" s="3" t="s">
        <v>114</v>
      </c>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HHH Institute</dc:creator>
  <cp:keywords/>
  <dc:description/>
  <cp:lastModifiedBy>Desktop Support Services</cp:lastModifiedBy>
  <cp:lastPrinted>2003-06-05T20:59:28Z</cp:lastPrinted>
  <dcterms:created xsi:type="dcterms:W3CDTF">2003-04-04T14:49:30Z</dcterms:created>
  <dcterms:modified xsi:type="dcterms:W3CDTF">2005-06-01T13:48:42Z</dcterms:modified>
  <cp:category/>
  <cp:version/>
  <cp:contentType/>
  <cp:contentStatus/>
</cp:coreProperties>
</file>